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pre\Downloads\"/>
    </mc:Choice>
  </mc:AlternateContent>
  <xr:revisionPtr revIDLastSave="0" documentId="11_81FB4E90BA7831510A8279FD219E15A623A2A0FB" xr6:coauthVersionLast="47" xr6:coauthVersionMax="47" xr10:uidLastSave="{00000000-0000-0000-0000-000000000000}"/>
  <bookViews>
    <workbookView xWindow="-108" yWindow="-108" windowWidth="23256" windowHeight="12456" tabRatio="500" activeTab="6" xr2:uid="{00000000-000D-0000-FFFF-FFFF00000000}"/>
  </bookViews>
  <sheets>
    <sheet name="Instrucciones" sheetId="1" r:id="rId1"/>
    <sheet name="Datos" sheetId="2" r:id="rId2"/>
    <sheet name="Facturas" sheetId="3" r:id="rId3"/>
    <sheet name="Factoring" sheetId="4" r:id="rId4"/>
    <sheet name="Flujo sin factoring" sheetId="5" r:id="rId5"/>
    <sheet name="Flujo con factoring" sheetId="6" r:id="rId6"/>
    <sheet name="Comparación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6" i="6" l="1"/>
  <c r="F16" i="6"/>
  <c r="E16" i="6"/>
  <c r="D16" i="6"/>
  <c r="C16" i="6"/>
  <c r="B16" i="6"/>
  <c r="H16" i="6" s="1"/>
  <c r="G15" i="6"/>
  <c r="F15" i="6"/>
  <c r="E15" i="6"/>
  <c r="D15" i="6"/>
  <c r="C15" i="6"/>
  <c r="B15" i="6"/>
  <c r="H15" i="6" s="1"/>
  <c r="G14" i="6"/>
  <c r="F14" i="6"/>
  <c r="E14" i="6"/>
  <c r="D14" i="6"/>
  <c r="C14" i="6"/>
  <c r="B14" i="6"/>
  <c r="H14" i="6" s="1"/>
  <c r="H13" i="6"/>
  <c r="G13" i="6"/>
  <c r="F13" i="6"/>
  <c r="E13" i="6"/>
  <c r="D13" i="6"/>
  <c r="C13" i="6"/>
  <c r="B13" i="6"/>
  <c r="G12" i="6"/>
  <c r="F12" i="6"/>
  <c r="E12" i="6"/>
  <c r="D12" i="6"/>
  <c r="C12" i="6"/>
  <c r="B12" i="6"/>
  <c r="H12" i="6" s="1"/>
  <c r="G11" i="6"/>
  <c r="G17" i="6" s="1"/>
  <c r="F11" i="6"/>
  <c r="F17" i="6" s="1"/>
  <c r="E11" i="6"/>
  <c r="E17" i="6" s="1"/>
  <c r="D11" i="6"/>
  <c r="D17" i="6" s="1"/>
  <c r="C11" i="6"/>
  <c r="C17" i="6" s="1"/>
  <c r="B11" i="6"/>
  <c r="G9" i="6"/>
  <c r="F9" i="6"/>
  <c r="E9" i="6"/>
  <c r="D9" i="6"/>
  <c r="C9" i="6"/>
  <c r="B9" i="6"/>
  <c r="H9" i="6" s="1"/>
  <c r="B5" i="6"/>
  <c r="G14" i="5"/>
  <c r="F14" i="5"/>
  <c r="E14" i="5"/>
  <c r="D14" i="5"/>
  <c r="C14" i="5"/>
  <c r="B14" i="5"/>
  <c r="H14" i="5" s="1"/>
  <c r="G13" i="5"/>
  <c r="F13" i="5"/>
  <c r="E13" i="5"/>
  <c r="D13" i="5"/>
  <c r="C13" i="5"/>
  <c r="B13" i="5"/>
  <c r="H13" i="5" s="1"/>
  <c r="G12" i="5"/>
  <c r="F12" i="5"/>
  <c r="F15" i="5" s="1"/>
  <c r="E12" i="5"/>
  <c r="E15" i="5" s="1"/>
  <c r="D12" i="5"/>
  <c r="D15" i="5" s="1"/>
  <c r="C12" i="5"/>
  <c r="C15" i="5" s="1"/>
  <c r="B12" i="5"/>
  <c r="G11" i="5"/>
  <c r="F11" i="5"/>
  <c r="E11" i="5"/>
  <c r="D11" i="5"/>
  <c r="C11" i="5"/>
  <c r="B11" i="5"/>
  <c r="G10" i="5"/>
  <c r="F10" i="5"/>
  <c r="E10" i="5"/>
  <c r="D10" i="5"/>
  <c r="C10" i="5"/>
  <c r="B10" i="5"/>
  <c r="H10" i="5" s="1"/>
  <c r="G9" i="5"/>
  <c r="F9" i="5"/>
  <c r="E9" i="5"/>
  <c r="D9" i="5"/>
  <c r="C9" i="5"/>
  <c r="B9" i="5"/>
  <c r="H9" i="5" s="1"/>
  <c r="G7" i="5"/>
  <c r="F7" i="5"/>
  <c r="E7" i="5"/>
  <c r="D7" i="5"/>
  <c r="C7" i="5"/>
  <c r="B7" i="5"/>
  <c r="H7" i="5" s="1"/>
  <c r="B5" i="5"/>
  <c r="H5" i="5" s="1"/>
  <c r="E41" i="4"/>
  <c r="O41" i="4" s="1"/>
  <c r="C41" i="4"/>
  <c r="B41" i="4"/>
  <c r="A41" i="4"/>
  <c r="E40" i="4"/>
  <c r="O40" i="4" s="1"/>
  <c r="C40" i="4"/>
  <c r="B40" i="4"/>
  <c r="A40" i="4"/>
  <c r="E39" i="4"/>
  <c r="O39" i="4" s="1"/>
  <c r="C39" i="4"/>
  <c r="B39" i="4"/>
  <c r="A39" i="4"/>
  <c r="E38" i="4"/>
  <c r="O38" i="4" s="1"/>
  <c r="C38" i="4"/>
  <c r="B38" i="4"/>
  <c r="A38" i="4"/>
  <c r="F37" i="4"/>
  <c r="E37" i="4"/>
  <c r="O37" i="4" s="1"/>
  <c r="C37" i="4"/>
  <c r="B37" i="4"/>
  <c r="A37" i="4"/>
  <c r="E36" i="4"/>
  <c r="O36" i="4" s="1"/>
  <c r="C36" i="4"/>
  <c r="B36" i="4"/>
  <c r="A36" i="4"/>
  <c r="E35" i="4"/>
  <c r="O35" i="4" s="1"/>
  <c r="C35" i="4"/>
  <c r="B35" i="4"/>
  <c r="A35" i="4"/>
  <c r="E34" i="4"/>
  <c r="O34" i="4" s="1"/>
  <c r="C34" i="4"/>
  <c r="B34" i="4"/>
  <c r="A34" i="4"/>
  <c r="E33" i="4"/>
  <c r="O33" i="4" s="1"/>
  <c r="C33" i="4"/>
  <c r="B33" i="4"/>
  <c r="A33" i="4"/>
  <c r="E32" i="4"/>
  <c r="O32" i="4" s="1"/>
  <c r="C32" i="4"/>
  <c r="B32" i="4"/>
  <c r="A32" i="4"/>
  <c r="L31" i="4"/>
  <c r="K31" i="4"/>
  <c r="J31" i="4"/>
  <c r="C31" i="4"/>
  <c r="B31" i="4"/>
  <c r="A31" i="4"/>
  <c r="C30" i="4"/>
  <c r="B30" i="4"/>
  <c r="A30" i="4"/>
  <c r="C29" i="4"/>
  <c r="B29" i="4"/>
  <c r="A29" i="4"/>
  <c r="C28" i="4"/>
  <c r="B28" i="4"/>
  <c r="A28" i="4"/>
  <c r="C27" i="4"/>
  <c r="B27" i="4"/>
  <c r="A27" i="4"/>
  <c r="C26" i="4"/>
  <c r="B26" i="4"/>
  <c r="A26" i="4"/>
  <c r="C25" i="4"/>
  <c r="B25" i="4"/>
  <c r="A25" i="4"/>
  <c r="C24" i="4"/>
  <c r="B24" i="4"/>
  <c r="A24" i="4"/>
  <c r="C23" i="4"/>
  <c r="B23" i="4"/>
  <c r="A23" i="4"/>
  <c r="C22" i="4"/>
  <c r="B22" i="4"/>
  <c r="A22" i="4"/>
  <c r="C21" i="4"/>
  <c r="B21" i="4"/>
  <c r="A21" i="4"/>
  <c r="C20" i="4"/>
  <c r="B20" i="4"/>
  <c r="A20" i="4"/>
  <c r="C19" i="4"/>
  <c r="B19" i="4"/>
  <c r="A19" i="4"/>
  <c r="C18" i="4"/>
  <c r="B18" i="4"/>
  <c r="A18" i="4"/>
  <c r="C17" i="4"/>
  <c r="B17" i="4"/>
  <c r="A17" i="4"/>
  <c r="C16" i="4"/>
  <c r="B16" i="4"/>
  <c r="A16" i="4"/>
  <c r="C15" i="4"/>
  <c r="B15" i="4"/>
  <c r="A15" i="4"/>
  <c r="C14" i="4"/>
  <c r="B14" i="4"/>
  <c r="A14" i="4"/>
  <c r="C13" i="4"/>
  <c r="B13" i="4"/>
  <c r="A13" i="4"/>
  <c r="C12" i="4"/>
  <c r="B12" i="4"/>
  <c r="A12" i="4"/>
  <c r="D8" i="4"/>
  <c r="C37" i="3"/>
  <c r="F36" i="3"/>
  <c r="H36" i="3" s="1"/>
  <c r="F35" i="3"/>
  <c r="H35" i="3" s="1"/>
  <c r="F34" i="3"/>
  <c r="H34" i="3" s="1"/>
  <c r="F33" i="3"/>
  <c r="H33" i="3" s="1"/>
  <c r="F32" i="3"/>
  <c r="H32" i="3" s="1"/>
  <c r="F31" i="3"/>
  <c r="H31" i="3" s="1"/>
  <c r="F30" i="3"/>
  <c r="H30" i="3" s="1"/>
  <c r="F29" i="3"/>
  <c r="H29" i="3" s="1"/>
  <c r="F28" i="3"/>
  <c r="H28" i="3" s="1"/>
  <c r="F27" i="3"/>
  <c r="H27" i="3" s="1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H18" i="2"/>
  <c r="G18" i="2"/>
  <c r="F18" i="2"/>
  <c r="E18" i="2"/>
  <c r="D18" i="2"/>
  <c r="C18" i="2"/>
  <c r="C7" i="2"/>
  <c r="H11" i="6" l="1"/>
  <c r="B17" i="6"/>
  <c r="H17" i="6" s="1"/>
  <c r="H5" i="6"/>
  <c r="H12" i="5"/>
  <c r="B15" i="5"/>
  <c r="G15" i="5"/>
  <c r="H11" i="5"/>
  <c r="K41" i="4"/>
  <c r="I41" i="4"/>
  <c r="G41" i="4"/>
  <c r="J41" i="4"/>
  <c r="L41" i="4"/>
  <c r="D41" i="4"/>
  <c r="H41" i="4"/>
  <c r="F41" i="4"/>
  <c r="H40" i="4"/>
  <c r="L40" i="4"/>
  <c r="J40" i="4"/>
  <c r="K40" i="4"/>
  <c r="G40" i="4"/>
  <c r="F40" i="4"/>
  <c r="I40" i="4"/>
  <c r="D40" i="4"/>
  <c r="J39" i="4"/>
  <c r="K39" i="4"/>
  <c r="L39" i="4"/>
  <c r="I39" i="4"/>
  <c r="D39" i="4"/>
  <c r="G39" i="4"/>
  <c r="F39" i="4"/>
  <c r="H39" i="4"/>
  <c r="L38" i="4"/>
  <c r="K38" i="4"/>
  <c r="I38" i="4"/>
  <c r="D38" i="4"/>
  <c r="F38" i="4"/>
  <c r="H38" i="4"/>
  <c r="G38" i="4"/>
  <c r="J38" i="4"/>
  <c r="D37" i="4"/>
  <c r="H37" i="4"/>
  <c r="I37" i="4"/>
  <c r="G37" i="4"/>
  <c r="J37" i="4"/>
  <c r="L37" i="4"/>
  <c r="K37" i="4"/>
  <c r="I36" i="4"/>
  <c r="G36" i="4"/>
  <c r="L36" i="4"/>
  <c r="F36" i="4"/>
  <c r="D36" i="4"/>
  <c r="H36" i="4"/>
  <c r="K36" i="4"/>
  <c r="J36" i="4"/>
  <c r="I35" i="4"/>
  <c r="G35" i="4"/>
  <c r="L35" i="4"/>
  <c r="K35" i="4"/>
  <c r="H35" i="4"/>
  <c r="F35" i="4"/>
  <c r="D35" i="4"/>
  <c r="J35" i="4"/>
  <c r="H34" i="4"/>
  <c r="F34" i="4"/>
  <c r="K34" i="4"/>
  <c r="L34" i="4"/>
  <c r="D34" i="4"/>
  <c r="I34" i="4"/>
  <c r="J34" i="4"/>
  <c r="G34" i="4"/>
  <c r="H33" i="4"/>
  <c r="I33" i="4"/>
  <c r="L33" i="4"/>
  <c r="J33" i="4"/>
  <c r="F33" i="4"/>
  <c r="D33" i="4"/>
  <c r="K33" i="4"/>
  <c r="G33" i="4"/>
  <c r="I32" i="4"/>
  <c r="F32" i="4"/>
  <c r="K32" i="4"/>
  <c r="J32" i="4"/>
  <c r="D32" i="4"/>
  <c r="G32" i="4"/>
  <c r="C42" i="4"/>
  <c r="L32" i="4"/>
  <c r="H32" i="4"/>
  <c r="D31" i="4"/>
  <c r="F31" i="4"/>
  <c r="G31" i="4"/>
  <c r="H31" i="4"/>
  <c r="I31" i="4"/>
  <c r="D30" i="4"/>
  <c r="F30" i="4"/>
  <c r="G30" i="4"/>
  <c r="H30" i="4"/>
  <c r="I30" i="4"/>
  <c r="J30" i="4"/>
  <c r="K30" i="4"/>
  <c r="L30" i="4"/>
  <c r="G29" i="4"/>
  <c r="D29" i="4"/>
  <c r="L29" i="4"/>
  <c r="K29" i="4"/>
  <c r="J29" i="4"/>
  <c r="I29" i="4"/>
  <c r="H29" i="4"/>
  <c r="F29" i="4"/>
  <c r="L28" i="4"/>
  <c r="K28" i="4"/>
  <c r="J28" i="4"/>
  <c r="I28" i="4"/>
  <c r="H28" i="4"/>
  <c r="G28" i="4"/>
  <c r="F28" i="4"/>
  <c r="D28" i="4"/>
  <c r="I27" i="4"/>
  <c r="L27" i="4"/>
  <c r="K27" i="4"/>
  <c r="J27" i="4"/>
  <c r="H27" i="4"/>
  <c r="G27" i="4"/>
  <c r="F27" i="4"/>
  <c r="D27" i="4"/>
  <c r="I26" i="4"/>
  <c r="J26" i="4"/>
  <c r="H26" i="4"/>
  <c r="L26" i="4"/>
  <c r="K26" i="4"/>
  <c r="G26" i="4"/>
  <c r="F26" i="4"/>
  <c r="D26" i="4"/>
  <c r="F25" i="4"/>
  <c r="D25" i="4"/>
  <c r="L25" i="4"/>
  <c r="K25" i="4"/>
  <c r="J25" i="4"/>
  <c r="I25" i="4"/>
  <c r="H25" i="4"/>
  <c r="G25" i="4"/>
  <c r="G24" i="4"/>
  <c r="H24" i="4"/>
  <c r="I24" i="4"/>
  <c r="K24" i="4"/>
  <c r="L24" i="4"/>
  <c r="J24" i="4"/>
  <c r="D24" i="4"/>
  <c r="F24" i="4"/>
  <c r="F23" i="4"/>
  <c r="I23" i="4"/>
  <c r="J23" i="4"/>
  <c r="K23" i="4"/>
  <c r="L23" i="4"/>
  <c r="D23" i="4"/>
  <c r="G23" i="4"/>
  <c r="H23" i="4"/>
  <c r="K22" i="4"/>
  <c r="J22" i="4"/>
  <c r="I22" i="4"/>
  <c r="D22" i="4"/>
  <c r="H22" i="4"/>
  <c r="G22" i="4"/>
  <c r="L22" i="4"/>
  <c r="F22" i="4"/>
  <c r="L21" i="4"/>
  <c r="K21" i="4"/>
  <c r="J21" i="4"/>
  <c r="D21" i="4"/>
  <c r="F21" i="4"/>
  <c r="G21" i="4"/>
  <c r="H21" i="4"/>
  <c r="I21" i="4"/>
  <c r="F20" i="4"/>
  <c r="I20" i="4"/>
  <c r="H20" i="4"/>
  <c r="G20" i="4"/>
  <c r="D20" i="4"/>
  <c r="K20" i="4"/>
  <c r="L20" i="4"/>
  <c r="J20" i="4"/>
  <c r="F19" i="4"/>
  <c r="D19" i="4"/>
  <c r="G19" i="4" s="1"/>
  <c r="F18" i="4"/>
  <c r="D18" i="4"/>
  <c r="G18" i="4" s="1"/>
  <c r="D17" i="4"/>
  <c r="F17" i="4"/>
  <c r="D16" i="4"/>
  <c r="F16" i="4"/>
  <c r="D15" i="4"/>
  <c r="G15" i="4" s="1"/>
  <c r="F15" i="4"/>
  <c r="D14" i="4"/>
  <c r="G14" i="4" s="1"/>
  <c r="F14" i="4"/>
  <c r="F13" i="4"/>
  <c r="G13" i="4" s="1"/>
  <c r="D13" i="4"/>
  <c r="F12" i="4"/>
  <c r="D12" i="4"/>
  <c r="G12" i="4" s="1"/>
  <c r="H26" i="3"/>
  <c r="E31" i="4"/>
  <c r="O31" i="4" s="1"/>
  <c r="E30" i="4"/>
  <c r="O30" i="4" s="1"/>
  <c r="H25" i="3"/>
  <c r="H24" i="3"/>
  <c r="E29" i="4"/>
  <c r="O29" i="4" s="1"/>
  <c r="H23" i="3"/>
  <c r="E28" i="4"/>
  <c r="O28" i="4" s="1"/>
  <c r="H22" i="3"/>
  <c r="E27" i="4"/>
  <c r="O27" i="4" s="1"/>
  <c r="H21" i="3"/>
  <c r="E26" i="4"/>
  <c r="O26" i="4" s="1"/>
  <c r="H20" i="3"/>
  <c r="E25" i="4"/>
  <c r="O25" i="4" s="1"/>
  <c r="H19" i="3"/>
  <c r="E24" i="4"/>
  <c r="O24" i="4" s="1"/>
  <c r="H18" i="3"/>
  <c r="E23" i="4"/>
  <c r="O23" i="4" s="1"/>
  <c r="H17" i="3"/>
  <c r="E22" i="4"/>
  <c r="O22" i="4" s="1"/>
  <c r="E21" i="4"/>
  <c r="O21" i="4" s="1"/>
  <c r="H16" i="3"/>
  <c r="H15" i="3"/>
  <c r="E20" i="4"/>
  <c r="O20" i="4" s="1"/>
  <c r="H14" i="3"/>
  <c r="E19" i="4"/>
  <c r="O19" i="4" s="1"/>
  <c r="E18" i="4"/>
  <c r="O18" i="4" s="1"/>
  <c r="H13" i="3"/>
  <c r="E17" i="4"/>
  <c r="O17" i="4" s="1"/>
  <c r="H12" i="3"/>
  <c r="E16" i="4"/>
  <c r="H11" i="3"/>
  <c r="E15" i="4"/>
  <c r="O15" i="4" s="1"/>
  <c r="H10" i="3"/>
  <c r="E14" i="4"/>
  <c r="O14" i="4" s="1"/>
  <c r="H9" i="3"/>
  <c r="E13" i="4"/>
  <c r="O13" i="4" s="1"/>
  <c r="H8" i="3"/>
  <c r="E12" i="4"/>
  <c r="O12" i="4" s="1"/>
  <c r="H7" i="3"/>
  <c r="C9" i="2"/>
  <c r="F9" i="2"/>
  <c r="D9" i="2"/>
  <c r="H9" i="2"/>
  <c r="G9" i="2"/>
  <c r="E9" i="2"/>
  <c r="M41" i="4" l="1"/>
  <c r="N41" i="4"/>
  <c r="M40" i="4"/>
  <c r="N40" i="4"/>
  <c r="N39" i="4"/>
  <c r="M39" i="4"/>
  <c r="N38" i="4"/>
  <c r="M38" i="4"/>
  <c r="N37" i="4"/>
  <c r="M37" i="4"/>
  <c r="M36" i="4"/>
  <c r="N36" i="4"/>
  <c r="N35" i="4"/>
  <c r="M35" i="4"/>
  <c r="M34" i="4"/>
  <c r="N34" i="4"/>
  <c r="N33" i="4"/>
  <c r="M33" i="4"/>
  <c r="M32" i="4"/>
  <c r="N32" i="4"/>
  <c r="M31" i="4"/>
  <c r="N31" i="4"/>
  <c r="M30" i="4"/>
  <c r="N30" i="4"/>
  <c r="M29" i="4"/>
  <c r="N29" i="4"/>
  <c r="M28" i="4"/>
  <c r="N28" i="4"/>
  <c r="M27" i="4"/>
  <c r="N27" i="4"/>
  <c r="M26" i="4"/>
  <c r="N26" i="4"/>
  <c r="M25" i="4"/>
  <c r="N25" i="4"/>
  <c r="M24" i="4"/>
  <c r="N24" i="4"/>
  <c r="M23" i="4"/>
  <c r="N23" i="4"/>
  <c r="M22" i="4"/>
  <c r="N22" i="4"/>
  <c r="M21" i="4"/>
  <c r="N21" i="4"/>
  <c r="M20" i="4"/>
  <c r="N20" i="4"/>
  <c r="M19" i="4"/>
  <c r="N19" i="4"/>
  <c r="M18" i="4"/>
  <c r="N18" i="4"/>
  <c r="M15" i="4"/>
  <c r="N15" i="4"/>
  <c r="M14" i="4"/>
  <c r="N14" i="4"/>
  <c r="M13" i="4"/>
  <c r="N13" i="4"/>
  <c r="M12" i="4"/>
  <c r="N12" i="4"/>
  <c r="B4" i="5"/>
  <c r="B4" i="6"/>
  <c r="E4" i="5"/>
  <c r="E4" i="6"/>
  <c r="C4" i="5"/>
  <c r="C4" i="6"/>
  <c r="G4" i="5"/>
  <c r="G4" i="6"/>
  <c r="F4" i="5"/>
  <c r="F4" i="6"/>
  <c r="D4" i="5"/>
  <c r="D4" i="6"/>
  <c r="H15" i="5"/>
  <c r="G17" i="4"/>
  <c r="I19" i="4"/>
  <c r="J19" i="4"/>
  <c r="H19" i="4"/>
  <c r="L19" i="4"/>
  <c r="K19" i="4"/>
  <c r="J18" i="4"/>
  <c r="H18" i="4"/>
  <c r="I18" i="4"/>
  <c r="K18" i="4"/>
  <c r="L18" i="4"/>
  <c r="I15" i="4"/>
  <c r="H15" i="4"/>
  <c r="H14" i="4"/>
  <c r="I14" i="4"/>
  <c r="I13" i="4"/>
  <c r="H13" i="4"/>
  <c r="L12" i="4"/>
  <c r="H12" i="4"/>
  <c r="K12" i="4"/>
  <c r="J12" i="4"/>
  <c r="I12" i="4"/>
  <c r="O16" i="4"/>
  <c r="G16" i="4"/>
  <c r="B6" i="5" l="1"/>
  <c r="A4" i="7"/>
  <c r="B6" i="6"/>
  <c r="E6" i="5"/>
  <c r="E8" i="5" s="1"/>
  <c r="E16" i="5" s="1"/>
  <c r="A7" i="7"/>
  <c r="E6" i="6"/>
  <c r="C6" i="5"/>
  <c r="C8" i="5" s="1"/>
  <c r="C16" i="5" s="1"/>
  <c r="A5" i="7"/>
  <c r="C6" i="6"/>
  <c r="G6" i="5"/>
  <c r="G8" i="5" s="1"/>
  <c r="G16" i="5" s="1"/>
  <c r="A9" i="7"/>
  <c r="G7" i="6"/>
  <c r="G6" i="6"/>
  <c r="F6" i="5"/>
  <c r="F8" i="5" s="1"/>
  <c r="F16" i="5" s="1"/>
  <c r="A8" i="7"/>
  <c r="F6" i="6"/>
  <c r="D6" i="5"/>
  <c r="D8" i="5" s="1"/>
  <c r="D16" i="5" s="1"/>
  <c r="A6" i="7"/>
  <c r="D6" i="6"/>
  <c r="N17" i="4"/>
  <c r="M17" i="4"/>
  <c r="L17" i="4"/>
  <c r="K17" i="4"/>
  <c r="J17" i="4"/>
  <c r="I17" i="4"/>
  <c r="I42" i="4" s="1"/>
  <c r="B17" i="7" s="1"/>
  <c r="H17" i="4"/>
  <c r="N16" i="4"/>
  <c r="M16" i="4"/>
  <c r="H16" i="4"/>
  <c r="I16" i="4"/>
  <c r="L16" i="4"/>
  <c r="L15" i="4"/>
  <c r="K15" i="4"/>
  <c r="J15" i="4"/>
  <c r="J14" i="4"/>
  <c r="K14" i="4"/>
  <c r="L14" i="4"/>
  <c r="L13" i="4"/>
  <c r="J13" i="4"/>
  <c r="K13" i="4" s="1"/>
  <c r="H6" i="5" l="1"/>
  <c r="B8" i="5"/>
  <c r="H6" i="6"/>
  <c r="L42" i="4"/>
  <c r="E7" i="6"/>
  <c r="E10" i="6" s="1"/>
  <c r="E18" i="6" s="1"/>
  <c r="C7" i="6"/>
  <c r="C10" i="6" s="1"/>
  <c r="C18" i="6" s="1"/>
  <c r="F7" i="6"/>
  <c r="D7" i="6"/>
  <c r="E8" i="6"/>
  <c r="C8" i="6"/>
  <c r="G8" i="6"/>
  <c r="G10" i="6" s="1"/>
  <c r="G18" i="6" s="1"/>
  <c r="F8" i="6"/>
  <c r="D8" i="6"/>
  <c r="B8" i="6"/>
  <c r="J16" i="4"/>
  <c r="H8" i="5" l="1"/>
  <c r="B16" i="5"/>
  <c r="F10" i="6"/>
  <c r="F18" i="6" s="1"/>
  <c r="D10" i="6"/>
  <c r="D18" i="6" s="1"/>
  <c r="H8" i="6"/>
  <c r="J42" i="4"/>
  <c r="B18" i="7" s="1"/>
  <c r="K16" i="4"/>
  <c r="B17" i="5" l="1"/>
  <c r="H16" i="5"/>
  <c r="K42" i="4"/>
  <c r="B7" i="6"/>
  <c r="B4" i="7" l="1"/>
  <c r="C5" i="5"/>
  <c r="C17" i="5" s="1"/>
  <c r="B18" i="5"/>
  <c r="E4" i="7" s="1"/>
  <c r="B10" i="6"/>
  <c r="H7" i="6"/>
  <c r="C18" i="5" l="1"/>
  <c r="E5" i="7" s="1"/>
  <c r="B5" i="7"/>
  <c r="D5" i="5"/>
  <c r="D17" i="5" s="1"/>
  <c r="H10" i="6"/>
  <c r="B18" i="6"/>
  <c r="D18" i="5" l="1"/>
  <c r="E6" i="7" s="1"/>
  <c r="E5" i="5"/>
  <c r="E17" i="5" s="1"/>
  <c r="B6" i="7"/>
  <c r="B19" i="6"/>
  <c r="H18" i="6"/>
  <c r="F5" i="5" l="1"/>
  <c r="F17" i="5" s="1"/>
  <c r="B7" i="7"/>
  <c r="E18" i="5"/>
  <c r="E7" i="7" s="1"/>
  <c r="C5" i="6"/>
  <c r="C19" i="6" s="1"/>
  <c r="C4" i="7"/>
  <c r="B20" i="6"/>
  <c r="F4" i="7" s="1"/>
  <c r="F18" i="5" l="1"/>
  <c r="E8" i="7" s="1"/>
  <c r="B8" i="7"/>
  <c r="G5" i="5"/>
  <c r="G17" i="5" s="1"/>
  <c r="C20" i="6"/>
  <c r="F5" i="7" s="1"/>
  <c r="C5" i="7"/>
  <c r="D5" i="6"/>
  <c r="D19" i="6" s="1"/>
  <c r="D4" i="7"/>
  <c r="B15" i="7" l="1"/>
  <c r="B12" i="7"/>
  <c r="B9" i="7"/>
  <c r="H17" i="5"/>
  <c r="G18" i="5"/>
  <c r="E9" i="7" s="1"/>
  <c r="D20" i="6"/>
  <c r="F6" i="7" s="1"/>
  <c r="C6" i="7"/>
  <c r="D6" i="7" s="1"/>
  <c r="E5" i="6"/>
  <c r="E19" i="6" s="1"/>
  <c r="D5" i="7"/>
  <c r="E20" i="6" l="1"/>
  <c r="F7" i="7" s="1"/>
  <c r="C7" i="7"/>
  <c r="F5" i="6"/>
  <c r="F19" i="6" s="1"/>
  <c r="D7" i="7" l="1"/>
  <c r="F20" i="6"/>
  <c r="F8" i="7" s="1"/>
  <c r="C8" i="7"/>
  <c r="G5" i="6"/>
  <c r="G19" i="6" s="1"/>
  <c r="H19" i="6" l="1"/>
  <c r="G20" i="6"/>
  <c r="F9" i="7" s="1"/>
  <c r="C9" i="7"/>
  <c r="D8" i="7"/>
  <c r="B13" i="7"/>
  <c r="B14" i="7" s="1"/>
  <c r="A21" i="7" s="1"/>
  <c r="B16" i="7"/>
  <c r="A22" i="7" s="1"/>
  <c r="D9" i="7" l="1"/>
  <c r="B19" i="7"/>
</calcChain>
</file>

<file path=xl/sharedStrings.xml><?xml version="1.0" encoding="utf-8"?>
<sst xmlns="http://schemas.openxmlformats.org/spreadsheetml/2006/main" count="152" uniqueCount="120">
  <si>
    <t>Flujo de caja: cómo está hoy y cómo se vería con factoring</t>
  </si>
  <si>
    <t>Plantilla gratuita de CHAYIL S.A. | www.chayil.cl</t>
  </si>
  <si>
    <t>Cómo usar esta plantilla en 5 pasos</t>
  </si>
  <si>
    <t>1. En la hoja "Datos" escribe tu saldo de caja, la fecha de hoy y tus ingresos y egresos mensuales.</t>
  </si>
  <si>
    <t>2. En la hoja "Facturas" anota tus facturas por cobrar (y las que vas a emitir): cliente, monto, fecha de emisión y plazo de pago. En la columna "¿Factorizar?" elige Sí o No.</t>
  </si>
  <si>
    <t>3. En la hoja "Factoring" escribe las condiciones de tu cotización: % de anticipo, tasa y comisiones. Allí ves el cálculo de cada factura.</t>
  </si>
  <si>
    <t>4. Revisa "Flujo sin factoring" y "Flujo con factoring". Si un mes aparece como SIN CAJA, ese mes tu saldo queda negativo.</t>
  </si>
  <si>
    <t>5. En "Comparación" ves cuánto cambia tu saldo con factoring y cuánto cuesta la operación.</t>
  </si>
  <si>
    <t>Cómo leer los colores</t>
  </si>
  <si>
    <t>Celdas amarillas con letra azul: son las que debes llenar tú.</t>
  </si>
  <si>
    <t>Letra negra: fórmulas. No las borres.</t>
  </si>
  <si>
    <t>Letra verde: vínculos con datos de otras hojas.</t>
  </si>
  <si>
    <t>Importante</t>
  </si>
  <si>
    <t>• Los datos de ejemplo son ficticios (facturas, saldos, tasa y porcentaje de anticipo). Borra solo las celdas amarillas y escribe los tuyos. Para la hoja "Factoring", usa las condiciones de la cotización que recibiste.</t>
  </si>
  <si>
    <t>• Es una simulación referencial. No incluye IVA ni otros impuestos que puedan aplicar sobre comisiones y no constituye una oferta de CHAYIL ni de otra empresa. Pide siempre la oferta por escrito.</t>
  </si>
  <si>
    <t>• Costo de cada operación = anticipo × tasa mensual × (días financiados ÷ 30) + comisión sobre el monto + gasto fijo por factura. Días financiados = fecha de pago de tu cliente − fecha en que recibes el anticipo.</t>
  </si>
  <si>
    <t>• La fecha del anticipo es la fecha de hoy, o la fecha de emisión si la factura aún no se emite. Capacidad: 30 facturas y 6 meses.</t>
  </si>
  <si>
    <t>• Incluye también las facturas que vas a emitir en los próximos meses; si no, los meses finales se verán más flojos de lo real.</t>
  </si>
  <si>
    <t>• Si usas una herramienta de IA para personalizar esta planilla, no ingreses RUT ni datos de tus clientes.</t>
  </si>
  <si>
    <t>Datos de tu empresa</t>
  </si>
  <si>
    <t>Escribe solo en las celdas amarillas. Los valores actuales son un ejemplo ficticio.</t>
  </si>
  <si>
    <t>Saldo inicial de caja ($)</t>
  </si>
  <si>
    <t>Fecha de hoy (inicio de la simulación)</t>
  </si>
  <si>
    <t>Primer mes de la simulación</t>
  </si>
  <si>
    <t>Concepto</t>
  </si>
  <si>
    <t>Otros ingresos (ventas al contado y otros cobros)</t>
  </si>
  <si>
    <t>Egresos del mes</t>
  </si>
  <si>
    <t>Sueldos y honorarios</t>
  </si>
  <si>
    <t>Proveedores y compras</t>
  </si>
  <si>
    <t>Arriendo y servicios básicos</t>
  </si>
  <si>
    <t>Impuestos (IVA, PPM)</t>
  </si>
  <si>
    <t>Cuotas de créditos</t>
  </si>
  <si>
    <t>Otros gastos</t>
  </si>
  <si>
    <t>Total egresos</t>
  </si>
  <si>
    <t>Supuesto: los ingresos y egresos de ejemplo son números ficticios de una pyme. Reemplázalos por los tuyos.</t>
  </si>
  <si>
    <t>Facturas por cobrar</t>
  </si>
  <si>
    <t>Anota las facturas que ya emitiste y las que vas a emitir. Los ejemplos (8 primeras filas) son ficticios: reemplázalos.</t>
  </si>
  <si>
    <t>En "¿Factorizar?" elige Sí o No para ver cómo cambia tu flujo de caja.</t>
  </si>
  <si>
    <t>N°</t>
  </si>
  <si>
    <t>Cliente pagador</t>
  </si>
  <si>
    <t>Monto de la factura ($)</t>
  </si>
  <si>
    <t>Fecha de emisión</t>
  </si>
  <si>
    <t>Plazo de pago (días)</t>
  </si>
  <si>
    <t>Fecha de pago estimada</t>
  </si>
  <si>
    <t>¿Factorizar?</t>
  </si>
  <si>
    <t>Mes de cobro sin factoring</t>
  </si>
  <si>
    <t>Empresa pagadora A (ejemplo)</t>
  </si>
  <si>
    <t>No</t>
  </si>
  <si>
    <t>Empresa pagadora B (ejemplo)</t>
  </si>
  <si>
    <t>Sí</t>
  </si>
  <si>
    <t>Empresa pagadora C (ejemplo)</t>
  </si>
  <si>
    <t>Total por cobrar</t>
  </si>
  <si>
    <t>Factoring: condiciones y cálculo por factura</t>
  </si>
  <si>
    <t>Escribe las condiciones de tu cotización. Los valores actuales son un ejemplo ficticio, no una oferta de CHAYIL.</t>
  </si>
  <si>
    <t>% de anticipo (sobre el monto de la factura)</t>
  </si>
  <si>
    <t>Tasa de descuento mensual</t>
  </si>
  <si>
    <t>Comisión sobre el monto de la factura</t>
  </si>
  <si>
    <t>Gasto fijo por factura ($)</t>
  </si>
  <si>
    <t>Fecha de hoy (viene de "Datos")</t>
  </si>
  <si>
    <t>Monto ($)</t>
  </si>
  <si>
    <t>Fecha de pago</t>
  </si>
  <si>
    <t>Fecha del anticipo</t>
  </si>
  <si>
    <t>¿Se factoriza? (1 = sí)</t>
  </si>
  <si>
    <t>Días financiados</t>
  </si>
  <si>
    <t>Anticipo ($)</t>
  </si>
  <si>
    <t>Costo de la operación ($)</t>
  </si>
  <si>
    <t>Líquido que recibes hoy ($)</t>
  </si>
  <si>
    <t>Saldo al pagar tu cliente ($)</t>
  </si>
  <si>
    <t>Mes del anticipo</t>
  </si>
  <si>
    <t>Mes del saldo</t>
  </si>
  <si>
    <t>Totales</t>
  </si>
  <si>
    <t>Nota: una factura solo se factoriza si su fecha de pago es posterior a la fecha del anticipo.</t>
  </si>
  <si>
    <t>Flujo de caja sin factoring (como estás hoy)</t>
  </si>
  <si>
    <t>Cobras cada factura en su fecha de pago.</t>
  </si>
  <si>
    <t>Total</t>
  </si>
  <si>
    <t>Saldo inicial de caja</t>
  </si>
  <si>
    <t>(+) Cobro de facturas</t>
  </si>
  <si>
    <t>(+) Otros ingresos</t>
  </si>
  <si>
    <t>Total ingresos</t>
  </si>
  <si>
    <t>(−) Sueldos y honorarios</t>
  </si>
  <si>
    <t>(−) Proveedores y compras</t>
  </si>
  <si>
    <t>(−) Arriendo y servicios básicos</t>
  </si>
  <si>
    <t>(−) Impuestos (IVA, PPM)</t>
  </si>
  <si>
    <t>(−) Cuotas de créditos</t>
  </si>
  <si>
    <t>(−) Otros gastos</t>
  </si>
  <si>
    <t>Flujo neto del mes</t>
  </si>
  <si>
    <t>Saldo final de caja</t>
  </si>
  <si>
    <t>Estado</t>
  </si>
  <si>
    <t>Solo cuenta las facturas con fecha de pago dentro de los 6 meses de la simulación.</t>
  </si>
  <si>
    <t>Flujo de caja con factoring</t>
  </si>
  <si>
    <t>Las facturas marcadas "Sí" en la hoja Facturas se adelantan; el resto se cobra en su fecha de pago.</t>
  </si>
  <si>
    <t>(+) Cobro de facturas no factorizadas</t>
  </si>
  <si>
    <t>(+) Anticipo neto de facturas factorizadas (ya descontado el costo)</t>
  </si>
  <si>
    <t>(+) Saldo de facturas factorizadas, al pagar tu cliente</t>
  </si>
  <si>
    <t>El anticipo ya viene con el costo de la operación descontado (ver hoja Factoring).</t>
  </si>
  <si>
    <t>Comparación: sin factoring vs. con factoring</t>
  </si>
  <si>
    <t>Mira cuándo te quedas sin caja y cuánto cuesta adelantar tus facturas.</t>
  </si>
  <si>
    <t>Mes</t>
  </si>
  <si>
    <t>Saldo final sin factoring</t>
  </si>
  <si>
    <t>Saldo final con factoring</t>
  </si>
  <si>
    <t>Diferencia (con − sin)</t>
  </si>
  <si>
    <t>Estado sin factoring</t>
  </si>
  <si>
    <t>Estado con factoring</t>
  </si>
  <si>
    <t>Resumen</t>
  </si>
  <si>
    <t>Saldo mínimo sin factoring</t>
  </si>
  <si>
    <t>Saldo mínimo con factoring</t>
  </si>
  <si>
    <t>Mejora del saldo mínimo</t>
  </si>
  <si>
    <t>Meses sin caja (sin factoring)</t>
  </si>
  <si>
    <t>Meses sin caja (con factoring)</t>
  </si>
  <si>
    <t>Dinero adelantado en total (anticipos)</t>
  </si>
  <si>
    <t>Costo total del factoring</t>
  </si>
  <si>
    <t>Diferencia de saldo al final del período</t>
  </si>
  <si>
    <t>Al final del período, el saldo con factoring es menor en lo que cuesta la operación: pagas por tener el dinero antes.</t>
  </si>
  <si>
    <t>¿Quieres una oferta real para tus facturas?</t>
  </si>
  <si>
    <t>Evaluamos a tu cliente pagador, no tu boletín comercial. Envíanos tu factura y te respondemos con la simulación de tu operación.</t>
  </si>
  <si>
    <t>Evaluar mi factura por WhatsApp</t>
  </si>
  <si>
    <t>Sitio web: www.chayil.cl</t>
  </si>
  <si>
    <t>Correo: contacto@chayil.cl</t>
  </si>
  <si>
    <t>Teléfono y WhatsApp: +56 9 7398 2016</t>
  </si>
  <si>
    <t>Esta planilla es una simulación referencial y no constituye una oferta.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</si>
</sst>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[Red]&quot;($&quot;#,##0\);\-"/>
    <numFmt numFmtId="165" formatCode="dd\-mm\-yyyy"/>
    <numFmt numFmtId="166" formatCode="mmm\-yy"/>
    <numFmt numFmtId="167" formatCode="0.0%"/>
  </numFmts>
  <fonts count="12" x14ac:knownFonts="1">
    <font>
      <sz val="11"/>
      <color theme="1"/>
      <name val="Calibri"/>
      <family val="2"/>
      <charset val="1"/>
    </font>
    <font>
      <b/>
      <sz val="16"/>
      <color rgb="FF444444"/>
      <name val="Arial"/>
      <family val="2"/>
    </font>
    <font>
      <i/>
      <sz val="10"/>
      <color rgb="FF595959"/>
      <name val="Arial"/>
      <family val="2"/>
    </font>
    <font>
      <b/>
      <sz val="11"/>
      <color rgb="FF444444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4"/>
      <color rgb="FF444444"/>
      <name val="Arial"/>
      <family val="2"/>
    </font>
    <font>
      <b/>
      <u/>
      <sz val="12"/>
      <color rgb="FF1F1F1F"/>
      <name val="Arial"/>
      <family val="2"/>
    </font>
    <font>
      <u/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D9F2B8"/>
      </patternFill>
    </fill>
    <fill>
      <patternFill patternType="solid">
        <fgColor rgb="FF444444"/>
        <bgColor rgb="FF595959"/>
      </patternFill>
    </fill>
    <fill>
      <patternFill patternType="solid">
        <fgColor rgb="FFEEEEEE"/>
        <bgColor rgb="FFFFFFFF"/>
      </patternFill>
    </fill>
    <fill>
      <patternFill patternType="solid">
        <fgColor rgb="FFFF6700"/>
        <bgColor rgb="FFFF99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0" fillId="5" borderId="0" xfId="0" applyFont="1" applyFill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1" xfId="0" applyFont="1" applyFill="1" applyBorder="1"/>
    <xf numFmtId="0" fontId="4" fillId="0" borderId="1" xfId="0" applyFont="1" applyBorder="1"/>
    <xf numFmtId="0" fontId="6" fillId="0" borderId="1" xfId="0" applyFont="1" applyBorder="1"/>
    <xf numFmtId="0" fontId="7" fillId="0" borderId="0" xfId="0" applyFont="1"/>
    <xf numFmtId="164" fontId="5" fillId="2" borderId="1" xfId="0" applyNumberFormat="1" applyFont="1" applyFill="1" applyBorder="1"/>
    <xf numFmtId="165" fontId="5" fillId="2" borderId="1" xfId="0" applyNumberFormat="1" applyFont="1" applyFill="1" applyBorder="1"/>
    <xf numFmtId="166" fontId="4" fillId="0" borderId="1" xfId="0" applyNumberFormat="1" applyFont="1" applyBorder="1"/>
    <xf numFmtId="0" fontId="8" fillId="3" borderId="1" xfId="0" applyFont="1" applyFill="1" applyBorder="1" applyAlignment="1">
      <alignment horizontal="left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7" fillId="4" borderId="1" xfId="0" applyFont="1" applyFill="1" applyBorder="1"/>
    <xf numFmtId="164" fontId="7" fillId="4" borderId="1" xfId="0" applyNumberFormat="1" applyFont="1" applyFill="1" applyBorder="1"/>
    <xf numFmtId="0" fontId="8" fillId="3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1" fontId="5" fillId="2" borderId="1" xfId="0" applyNumberFormat="1" applyFont="1" applyFill="1" applyBorder="1"/>
    <xf numFmtId="165" fontId="4" fillId="0" borderId="1" xfId="0" applyNumberFormat="1" applyFont="1" applyBorder="1"/>
    <xf numFmtId="0" fontId="5" fillId="2" borderId="1" xfId="0" applyFont="1" applyFill="1" applyBorder="1" applyAlignment="1">
      <alignment horizontal="center"/>
    </xf>
    <xf numFmtId="167" fontId="5" fillId="2" borderId="1" xfId="0" applyNumberFormat="1" applyFont="1" applyFill="1" applyBorder="1"/>
    <xf numFmtId="165" fontId="6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1" fontId="4" fillId="0" borderId="1" xfId="0" applyNumberFormat="1" applyFont="1" applyBorder="1"/>
    <xf numFmtId="164" fontId="4" fillId="0" borderId="1" xfId="0" applyNumberFormat="1" applyFont="1" applyBorder="1"/>
    <xf numFmtId="164" fontId="6" fillId="0" borderId="0" xfId="0" applyNumberFormat="1" applyFont="1"/>
    <xf numFmtId="164" fontId="4" fillId="0" borderId="0" xfId="0" applyNumberFormat="1" applyFont="1"/>
    <xf numFmtId="0" fontId="7" fillId="4" borderId="0" xfId="0" applyFont="1" applyFill="1"/>
    <xf numFmtId="164" fontId="7" fillId="4" borderId="0" xfId="0" applyNumberFormat="1" applyFont="1" applyFill="1"/>
    <xf numFmtId="164" fontId="7" fillId="0" borderId="0" xfId="0" applyNumberFormat="1" applyFont="1"/>
    <xf numFmtId="0" fontId="7" fillId="0" borderId="0" xfId="0" applyFont="1" applyAlignment="1">
      <alignment horizontal="center"/>
    </xf>
    <xf numFmtId="166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" xfId="0" applyFont="1" applyBorder="1"/>
    <xf numFmtId="164" fontId="7" fillId="0" borderId="1" xfId="0" applyNumberFormat="1" applyFont="1" applyBorder="1"/>
    <xf numFmtId="0" fontId="9" fillId="0" borderId="0" xfId="0" applyFont="1"/>
    <xf numFmtId="0" fontId="11" fillId="0" borderId="0" xfId="0" applyFont="1"/>
  </cellXfs>
  <cellStyles count="1">
    <cellStyle name="Normal" xfId="0" builtinId="0"/>
  </cellStyles>
  <dxfs count="6">
    <dxf>
      <font>
        <b/>
        <color rgb="FF2E5E00"/>
        <name val="Arial"/>
        <charset val="1"/>
      </font>
      <fill>
        <patternFill>
          <bgColor rgb="FFD9F2B8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2E5E00"/>
        <name val="Arial"/>
        <charset val="1"/>
      </font>
      <fill>
        <patternFill>
          <bgColor rgb="FFD9F2B8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2E5E00"/>
        <name val="Arial"/>
        <charset val="1"/>
      </font>
      <fill>
        <patternFill>
          <bgColor rgb="FFD9F2B8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B8"/>
      <rgbColor rgb="FFFFFF99"/>
      <rgbColor rgb="FF99CCFF"/>
      <rgbColor rgb="FFFF99CC"/>
      <rgbColor rgb="FFCC99FF"/>
      <rgbColor rgb="FFFFC7CE"/>
      <rgbColor rgb="FF3366FF"/>
      <rgbColor rgb="FF33CCCC"/>
      <rgbColor rgb="FF6BCE02"/>
      <rgbColor rgb="FFFFCC00"/>
      <rgbColor rgb="FFFF9900"/>
      <rgbColor rgb="FFFF6700"/>
      <rgbColor rgb="FF595959"/>
      <rgbColor rgb="FF969696"/>
      <rgbColor rgb="FF003366"/>
      <rgbColor rgb="FF339966"/>
      <rgbColor rgb="FF2E5E00"/>
      <rgbColor rgb="FF1F1F1F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Saldo final de caja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Comparación!$B$3</c:f>
              <c:strCache>
                <c:ptCount val="1"/>
                <c:pt idx="0">
                  <c:v>Saldo final sin factoring</c:v>
                </c:pt>
              </c:strCache>
            </c:strRef>
          </c:tx>
          <c:spPr>
            <a:ln w="28080">
              <a:solidFill>
                <a:srgbClr val="44444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Comparación!$A$4:$A$9</c:f>
              <c:numCache>
                <c:formatCode>mmm\-yy</c:formatCode>
                <c:ptCount val="6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</c:numCache>
            </c:numRef>
          </c:cat>
          <c:val>
            <c:numRef>
              <c:f>Comparación!$B$4:$B$9</c:f>
              <c:numCache>
                <c:formatCode>\$#,##0;[Red]"($"#,##0\);\-</c:formatCode>
                <c:ptCount val="6"/>
                <c:pt idx="0">
                  <c:v>-4000000</c:v>
                </c:pt>
                <c:pt idx="1">
                  <c:v>-8000000</c:v>
                </c:pt>
                <c:pt idx="2">
                  <c:v>-1000000</c:v>
                </c:pt>
                <c:pt idx="3">
                  <c:v>8000000</c:v>
                </c:pt>
                <c:pt idx="4">
                  <c:v>8000000</c:v>
                </c:pt>
                <c:pt idx="5">
                  <c:v>7000000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36-4801-8B0B-DA3C336032D8}"/>
            </c:ext>
          </c:extLst>
        </c:ser>
        <c:ser>
          <c:idx val="1"/>
          <c:order val="1"/>
          <c:tx>
            <c:strRef>
              <c:f>Comparación!$C$3</c:f>
              <c:strCache>
                <c:ptCount val="1"/>
                <c:pt idx="0">
                  <c:v>Saldo final con factoring</c:v>
                </c:pt>
              </c:strCache>
            </c:strRef>
          </c:tx>
          <c:spPr>
            <a:ln w="28080">
              <a:solidFill>
                <a:srgbClr val="FF67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Comparación!$A$4:$A$9</c:f>
              <c:numCache>
                <c:formatCode>mmm\-yy</c:formatCode>
                <c:ptCount val="6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</c:numCache>
            </c:numRef>
          </c:cat>
          <c:val>
            <c:numRef>
              <c:f>Comparación!$C$4:$C$9</c:f>
              <c:numCache>
                <c:formatCode>\$#,##0;[Red]"($"#,##0\);\-</c:formatCode>
                <c:ptCount val="6"/>
                <c:pt idx="0">
                  <c:v>34175800</c:v>
                </c:pt>
                <c:pt idx="1">
                  <c:v>22075800</c:v>
                </c:pt>
                <c:pt idx="2">
                  <c:v>11075800</c:v>
                </c:pt>
                <c:pt idx="3">
                  <c:v>6575800</c:v>
                </c:pt>
                <c:pt idx="4">
                  <c:v>6575800</c:v>
                </c:pt>
                <c:pt idx="5">
                  <c:v>5575800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36-4801-8B0B-DA3C33603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1275978"/>
        <c:axId val="29149011"/>
      </c:lineChart>
      <c:dateAx>
        <c:axId val="1127597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L"/>
          </a:p>
        </c:txPr>
        <c:crossAx val="29149011"/>
        <c:crosses val="autoZero"/>
        <c:auto val="1"/>
        <c:lblOffset val="100"/>
        <c:baseTimeUnit val="months"/>
      </c:dateAx>
      <c:valAx>
        <c:axId val="291490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Pesos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L"/>
          </a:p>
        </c:txPr>
        <c:crossAx val="1127597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CL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2381040</xdr:colOff>
      <xdr:row>2</xdr:row>
      <xdr:rowOff>190080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0"/>
          <a:ext cx="2381040" cy="590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130680</xdr:rowOff>
    </xdr:from>
    <xdr:to>
      <xdr:col>2</xdr:col>
      <xdr:colOff>1326600</xdr:colOff>
      <xdr:row>39</xdr:row>
      <xdr:rowOff>142560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o@chayil.cl" TargetMode="External"/><Relationship Id="rId2" Type="http://schemas.openxmlformats.org/officeDocument/2006/relationships/hyperlink" Target="https://www.chayil.cl/" TargetMode="External"/><Relationship Id="rId1" Type="http://schemas.openxmlformats.org/officeDocument/2006/relationships/hyperlink" Target="https://wa.me/56973982016?text=Hola%2C%20quisiera%20evaluar%20una%20factura%20con%20CHAYIL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44444"/>
  </sheetPr>
  <dimension ref="B1:B27"/>
  <sheetViews>
    <sheetView showGridLines="0" zoomScaleNormal="100" workbookViewId="0"/>
  </sheetViews>
  <sheetFormatPr baseColWidth="10" defaultColWidth="8.6640625" defaultRowHeight="14.4" x14ac:dyDescent="0.3"/>
  <cols>
    <col min="1" max="1" width="3" customWidth="1"/>
    <col min="2" max="2" width="120" customWidth="1"/>
  </cols>
  <sheetData>
    <row r="1" spans="2:2" ht="15.75" customHeight="1" x14ac:dyDescent="0.3"/>
    <row r="2" spans="2:2" ht="15.75" customHeight="1" x14ac:dyDescent="0.3"/>
    <row r="3" spans="2:2" ht="15.75" customHeight="1" x14ac:dyDescent="0.3"/>
    <row r="4" spans="2:2" ht="15.75" customHeight="1" x14ac:dyDescent="0.3"/>
    <row r="6" spans="2:2" ht="21" x14ac:dyDescent="0.4">
      <c r="B6" s="2" t="s">
        <v>0</v>
      </c>
    </row>
    <row r="7" spans="2:2" x14ac:dyDescent="0.3">
      <c r="B7" s="3" t="s">
        <v>1</v>
      </c>
    </row>
    <row r="9" spans="2:2" x14ac:dyDescent="0.3">
      <c r="B9" s="4" t="s">
        <v>2</v>
      </c>
    </row>
    <row r="10" spans="2:2" ht="30" customHeight="1" x14ac:dyDescent="0.3">
      <c r="B10" s="5" t="s">
        <v>3</v>
      </c>
    </row>
    <row r="11" spans="2:2" ht="30" customHeight="1" x14ac:dyDescent="0.3">
      <c r="B11" s="5" t="s">
        <v>4</v>
      </c>
    </row>
    <row r="12" spans="2:2" ht="30" customHeight="1" x14ac:dyDescent="0.3">
      <c r="B12" s="5" t="s">
        <v>5</v>
      </c>
    </row>
    <row r="13" spans="2:2" ht="30" customHeight="1" x14ac:dyDescent="0.3">
      <c r="B13" s="5" t="s">
        <v>6</v>
      </c>
    </row>
    <row r="14" spans="2:2" ht="30" customHeight="1" x14ac:dyDescent="0.3">
      <c r="B14" s="5" t="s">
        <v>7</v>
      </c>
    </row>
    <row r="16" spans="2:2" x14ac:dyDescent="0.3">
      <c r="B16" s="4" t="s">
        <v>8</v>
      </c>
    </row>
    <row r="17" spans="2:2" x14ac:dyDescent="0.3">
      <c r="B17" s="6" t="s">
        <v>9</v>
      </c>
    </row>
    <row r="18" spans="2:2" x14ac:dyDescent="0.3">
      <c r="B18" s="7" t="s">
        <v>10</v>
      </c>
    </row>
    <row r="19" spans="2:2" x14ac:dyDescent="0.3">
      <c r="B19" s="8" t="s">
        <v>11</v>
      </c>
    </row>
    <row r="21" spans="2:2" x14ac:dyDescent="0.3">
      <c r="B21" s="4" t="s">
        <v>12</v>
      </c>
    </row>
    <row r="22" spans="2:2" ht="42" customHeight="1" x14ac:dyDescent="0.3">
      <c r="B22" s="5" t="s">
        <v>13</v>
      </c>
    </row>
    <row r="23" spans="2:2" ht="42" customHeight="1" x14ac:dyDescent="0.3">
      <c r="B23" s="5" t="s">
        <v>14</v>
      </c>
    </row>
    <row r="24" spans="2:2" ht="42" customHeight="1" x14ac:dyDescent="0.3">
      <c r="B24" s="5" t="s">
        <v>15</v>
      </c>
    </row>
    <row r="25" spans="2:2" ht="42" customHeight="1" x14ac:dyDescent="0.3">
      <c r="B25" s="5" t="s">
        <v>16</v>
      </c>
    </row>
    <row r="26" spans="2:2" ht="42" customHeight="1" x14ac:dyDescent="0.3">
      <c r="B26" s="5" t="s">
        <v>17</v>
      </c>
    </row>
    <row r="27" spans="2:2" ht="42" customHeight="1" x14ac:dyDescent="0.3">
      <c r="B27" s="5" t="s">
        <v>18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700"/>
  </sheetPr>
  <dimension ref="B1:H20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8.6640625" defaultRowHeight="14.4" x14ac:dyDescent="0.3"/>
  <cols>
    <col min="1" max="1" width="3" customWidth="1"/>
    <col min="2" max="2" width="46" customWidth="1"/>
    <col min="3" max="8" width="14" customWidth="1"/>
  </cols>
  <sheetData>
    <row r="1" spans="2:8" ht="21" x14ac:dyDescent="0.4">
      <c r="B1" s="2" t="s">
        <v>19</v>
      </c>
    </row>
    <row r="2" spans="2:8" x14ac:dyDescent="0.3">
      <c r="B2" s="3" t="s">
        <v>20</v>
      </c>
    </row>
    <row r="5" spans="2:8" x14ac:dyDescent="0.3">
      <c r="B5" s="9" t="s">
        <v>21</v>
      </c>
      <c r="C5" s="10">
        <v>3000000</v>
      </c>
    </row>
    <row r="6" spans="2:8" x14ac:dyDescent="0.3">
      <c r="B6" s="9" t="s">
        <v>22</v>
      </c>
      <c r="C6" s="11">
        <v>46310</v>
      </c>
    </row>
    <row r="7" spans="2:8" x14ac:dyDescent="0.3">
      <c r="B7" s="9" t="s">
        <v>23</v>
      </c>
      <c r="C7" s="12">
        <f>DATE(YEAR(C6),MONTH(C6),1)</f>
        <v>46296</v>
      </c>
    </row>
    <row r="9" spans="2:8" x14ac:dyDescent="0.3">
      <c r="B9" s="13" t="s">
        <v>24</v>
      </c>
      <c r="C9" s="14">
        <f>DATE(YEAR($C$7),MONTH($C$7)+0,1)</f>
        <v>46296</v>
      </c>
      <c r="D9" s="14">
        <f>DATE(YEAR($C$7),MONTH($C$7)+1,1)</f>
        <v>46327</v>
      </c>
      <c r="E9" s="14">
        <f>DATE(YEAR($C$7),MONTH($C$7)+2,1)</f>
        <v>46357</v>
      </c>
      <c r="F9" s="14">
        <f>DATE(YEAR($C$7),MONTH($C$7)+3,1)</f>
        <v>46388</v>
      </c>
      <c r="G9" s="14">
        <f>DATE(YEAR($C$7),MONTH($C$7)+4,1)</f>
        <v>46419</v>
      </c>
      <c r="H9" s="14">
        <f>DATE(YEAR($C$7),MONTH($C$7)+5,1)</f>
        <v>46447</v>
      </c>
    </row>
    <row r="10" spans="2:8" x14ac:dyDescent="0.3">
      <c r="B10" s="9" t="s">
        <v>25</v>
      </c>
      <c r="C10" s="10">
        <v>1500000</v>
      </c>
      <c r="D10" s="10">
        <v>1500000</v>
      </c>
      <c r="E10" s="10">
        <v>1500000</v>
      </c>
      <c r="F10" s="10">
        <v>1500000</v>
      </c>
      <c r="G10" s="10">
        <v>1500000</v>
      </c>
      <c r="H10" s="10">
        <v>1500000</v>
      </c>
    </row>
    <row r="11" spans="2:8" x14ac:dyDescent="0.3">
      <c r="B11" s="4" t="s">
        <v>26</v>
      </c>
    </row>
    <row r="12" spans="2:8" x14ac:dyDescent="0.3">
      <c r="B12" s="15" t="s">
        <v>27</v>
      </c>
      <c r="C12" s="10">
        <v>6000000</v>
      </c>
      <c r="D12" s="10">
        <v>6000000</v>
      </c>
      <c r="E12" s="10">
        <v>6000000</v>
      </c>
      <c r="F12" s="10">
        <v>6000000</v>
      </c>
      <c r="G12" s="10">
        <v>6000000</v>
      </c>
      <c r="H12" s="10">
        <v>6000000</v>
      </c>
    </row>
    <row r="13" spans="2:8" x14ac:dyDescent="0.3">
      <c r="B13" s="15" t="s">
        <v>28</v>
      </c>
      <c r="C13" s="10">
        <v>5000000</v>
      </c>
      <c r="D13" s="10">
        <v>5000000</v>
      </c>
      <c r="E13" s="10">
        <v>5000000</v>
      </c>
      <c r="F13" s="10">
        <v>5000000</v>
      </c>
      <c r="G13" s="10">
        <v>5000000</v>
      </c>
      <c r="H13" s="10">
        <v>5000000</v>
      </c>
    </row>
    <row r="14" spans="2:8" x14ac:dyDescent="0.3">
      <c r="B14" s="15" t="s">
        <v>29</v>
      </c>
      <c r="C14" s="10">
        <v>1200000</v>
      </c>
      <c r="D14" s="10">
        <v>1200000</v>
      </c>
      <c r="E14" s="10">
        <v>1200000</v>
      </c>
      <c r="F14" s="10">
        <v>1200000</v>
      </c>
      <c r="G14" s="10">
        <v>1200000</v>
      </c>
      <c r="H14" s="10">
        <v>1200000</v>
      </c>
    </row>
    <row r="15" spans="2:8" x14ac:dyDescent="0.3">
      <c r="B15" s="15" t="s">
        <v>30</v>
      </c>
      <c r="C15" s="10">
        <v>1300000</v>
      </c>
      <c r="D15" s="10">
        <v>1300000</v>
      </c>
      <c r="E15" s="10">
        <v>1300000</v>
      </c>
      <c r="F15" s="10">
        <v>1300000</v>
      </c>
      <c r="G15" s="10">
        <v>1300000</v>
      </c>
      <c r="H15" s="10">
        <v>1300000</v>
      </c>
    </row>
    <row r="16" spans="2:8" x14ac:dyDescent="0.3">
      <c r="B16" s="15" t="s">
        <v>31</v>
      </c>
      <c r="C16" s="10">
        <v>700000</v>
      </c>
      <c r="D16" s="10">
        <v>700000</v>
      </c>
      <c r="E16" s="10">
        <v>700000</v>
      </c>
      <c r="F16" s="10">
        <v>700000</v>
      </c>
      <c r="G16" s="10">
        <v>700000</v>
      </c>
      <c r="H16" s="10">
        <v>700000</v>
      </c>
    </row>
    <row r="17" spans="2:8" x14ac:dyDescent="0.3">
      <c r="B17" s="15" t="s">
        <v>32</v>
      </c>
      <c r="C17" s="10">
        <v>300000</v>
      </c>
      <c r="D17" s="10">
        <v>300000</v>
      </c>
      <c r="E17" s="10">
        <v>300000</v>
      </c>
      <c r="F17" s="10">
        <v>300000</v>
      </c>
      <c r="G17" s="10">
        <v>300000</v>
      </c>
      <c r="H17" s="10">
        <v>300000</v>
      </c>
    </row>
    <row r="18" spans="2:8" x14ac:dyDescent="0.3">
      <c r="B18" s="16" t="s">
        <v>33</v>
      </c>
      <c r="C18" s="17">
        <f t="shared" ref="C18:H18" si="0">SUM(C12:C17)</f>
        <v>14500000</v>
      </c>
      <c r="D18" s="17">
        <f t="shared" si="0"/>
        <v>14500000</v>
      </c>
      <c r="E18" s="17">
        <f t="shared" si="0"/>
        <v>14500000</v>
      </c>
      <c r="F18" s="17">
        <f t="shared" si="0"/>
        <v>14500000</v>
      </c>
      <c r="G18" s="17">
        <f t="shared" si="0"/>
        <v>14500000</v>
      </c>
      <c r="H18" s="17">
        <f t="shared" si="0"/>
        <v>14500000</v>
      </c>
    </row>
    <row r="20" spans="2:8" x14ac:dyDescent="0.3">
      <c r="B20" s="3" t="s">
        <v>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700"/>
  </sheetPr>
  <dimension ref="A1:H3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6640625" defaultRowHeight="14.4" x14ac:dyDescent="0.3"/>
  <cols>
    <col min="1" max="1" width="6" customWidth="1"/>
    <col min="2" max="2" width="34" customWidth="1"/>
    <col min="3" max="3" width="18" customWidth="1"/>
    <col min="4" max="4" width="16" customWidth="1"/>
    <col min="5" max="5" width="14" customWidth="1"/>
    <col min="6" max="6" width="18" customWidth="1"/>
    <col min="7" max="7" width="14" customWidth="1"/>
    <col min="8" max="8" width="18" customWidth="1"/>
  </cols>
  <sheetData>
    <row r="1" spans="1:8" ht="21" x14ac:dyDescent="0.4">
      <c r="A1" s="2" t="s">
        <v>35</v>
      </c>
    </row>
    <row r="2" spans="1:8" x14ac:dyDescent="0.3">
      <c r="A2" s="3" t="s">
        <v>36</v>
      </c>
    </row>
    <row r="3" spans="1:8" x14ac:dyDescent="0.3">
      <c r="A3" s="3" t="s">
        <v>37</v>
      </c>
    </row>
    <row r="6" spans="1:8" ht="42" customHeight="1" x14ac:dyDescent="0.3">
      <c r="A6" s="18" t="s">
        <v>38</v>
      </c>
      <c r="B6" s="18" t="s">
        <v>39</v>
      </c>
      <c r="C6" s="18" t="s">
        <v>40</v>
      </c>
      <c r="D6" s="18" t="s">
        <v>41</v>
      </c>
      <c r="E6" s="18" t="s">
        <v>42</v>
      </c>
      <c r="F6" s="18" t="s">
        <v>43</v>
      </c>
      <c r="G6" s="18" t="s">
        <v>44</v>
      </c>
      <c r="H6" s="18" t="s">
        <v>45</v>
      </c>
    </row>
    <row r="7" spans="1:8" x14ac:dyDescent="0.3">
      <c r="A7" s="19">
        <v>1</v>
      </c>
      <c r="B7" s="6" t="s">
        <v>46</v>
      </c>
      <c r="C7" s="10">
        <v>6000000</v>
      </c>
      <c r="D7" s="11">
        <v>46254</v>
      </c>
      <c r="E7" s="20">
        <v>60</v>
      </c>
      <c r="F7" s="21">
        <f t="shared" ref="F7:F36" si="0">IF(OR(D7="",E7=""),"",D7+E7)</f>
        <v>46314</v>
      </c>
      <c r="G7" s="22" t="s">
        <v>47</v>
      </c>
      <c r="H7" s="12">
        <f t="shared" ref="H7:H36" si="1">IF(F7="","",DATE(YEAR(F7),MONTH(F7),1))</f>
        <v>46296</v>
      </c>
    </row>
    <row r="8" spans="1:8" x14ac:dyDescent="0.3">
      <c r="A8" s="19">
        <v>2</v>
      </c>
      <c r="B8" s="6" t="s">
        <v>48</v>
      </c>
      <c r="C8" s="10">
        <v>12000000</v>
      </c>
      <c r="D8" s="11">
        <v>46275</v>
      </c>
      <c r="E8" s="20">
        <v>90</v>
      </c>
      <c r="F8" s="21">
        <f t="shared" si="0"/>
        <v>46365</v>
      </c>
      <c r="G8" s="22" t="s">
        <v>49</v>
      </c>
      <c r="H8" s="12">
        <f t="shared" si="1"/>
        <v>46357</v>
      </c>
    </row>
    <row r="9" spans="1:8" x14ac:dyDescent="0.3">
      <c r="A9" s="19">
        <v>3</v>
      </c>
      <c r="B9" s="6" t="s">
        <v>46</v>
      </c>
      <c r="C9" s="10">
        <v>9000000</v>
      </c>
      <c r="D9" s="11">
        <v>46290</v>
      </c>
      <c r="E9" s="20">
        <v>60</v>
      </c>
      <c r="F9" s="21">
        <f t="shared" si="0"/>
        <v>46350</v>
      </c>
      <c r="G9" s="22" t="s">
        <v>49</v>
      </c>
      <c r="H9" s="12">
        <f t="shared" si="1"/>
        <v>46327</v>
      </c>
    </row>
    <row r="10" spans="1:8" x14ac:dyDescent="0.3">
      <c r="A10" s="19">
        <v>4</v>
      </c>
      <c r="B10" s="6" t="s">
        <v>50</v>
      </c>
      <c r="C10" s="10">
        <v>15000000</v>
      </c>
      <c r="D10" s="11">
        <v>46300</v>
      </c>
      <c r="E10" s="20">
        <v>90</v>
      </c>
      <c r="F10" s="21">
        <f t="shared" si="0"/>
        <v>46390</v>
      </c>
      <c r="G10" s="22" t="s">
        <v>49</v>
      </c>
      <c r="H10" s="12">
        <f t="shared" si="1"/>
        <v>46388</v>
      </c>
    </row>
    <row r="11" spans="1:8" x14ac:dyDescent="0.3">
      <c r="A11" s="19">
        <v>5</v>
      </c>
      <c r="B11" s="6" t="s">
        <v>48</v>
      </c>
      <c r="C11" s="10">
        <v>8000000</v>
      </c>
      <c r="D11" s="11">
        <v>46307</v>
      </c>
      <c r="E11" s="20">
        <v>60</v>
      </c>
      <c r="F11" s="21">
        <f t="shared" si="0"/>
        <v>46367</v>
      </c>
      <c r="G11" s="22" t="s">
        <v>49</v>
      </c>
      <c r="H11" s="12">
        <f t="shared" si="1"/>
        <v>46357</v>
      </c>
    </row>
    <row r="12" spans="1:8" x14ac:dyDescent="0.3">
      <c r="A12" s="19">
        <v>6</v>
      </c>
      <c r="B12" s="6" t="s">
        <v>46</v>
      </c>
      <c r="C12" s="10">
        <v>7000000</v>
      </c>
      <c r="D12" s="11">
        <v>46336</v>
      </c>
      <c r="E12" s="20">
        <v>60</v>
      </c>
      <c r="F12" s="21">
        <f t="shared" si="0"/>
        <v>46396</v>
      </c>
      <c r="G12" s="22" t="s">
        <v>47</v>
      </c>
      <c r="H12" s="12">
        <f t="shared" si="1"/>
        <v>46388</v>
      </c>
    </row>
    <row r="13" spans="1:8" x14ac:dyDescent="0.3">
      <c r="A13" s="19">
        <v>7</v>
      </c>
      <c r="B13" s="6" t="s">
        <v>50</v>
      </c>
      <c r="C13" s="10">
        <v>13000000</v>
      </c>
      <c r="D13" s="11">
        <v>46366</v>
      </c>
      <c r="E13" s="20">
        <v>60</v>
      </c>
      <c r="F13" s="21">
        <f t="shared" si="0"/>
        <v>46426</v>
      </c>
      <c r="G13" s="22" t="s">
        <v>47</v>
      </c>
      <c r="H13" s="12">
        <f t="shared" si="1"/>
        <v>46419</v>
      </c>
    </row>
    <row r="14" spans="1:8" x14ac:dyDescent="0.3">
      <c r="A14" s="19">
        <v>8</v>
      </c>
      <c r="B14" s="6" t="s">
        <v>48</v>
      </c>
      <c r="C14" s="10">
        <v>12000000</v>
      </c>
      <c r="D14" s="11">
        <v>46399</v>
      </c>
      <c r="E14" s="20">
        <v>60</v>
      </c>
      <c r="F14" s="21">
        <f t="shared" si="0"/>
        <v>46459</v>
      </c>
      <c r="G14" s="22" t="s">
        <v>47</v>
      </c>
      <c r="H14" s="12">
        <f t="shared" si="1"/>
        <v>46447</v>
      </c>
    </row>
    <row r="15" spans="1:8" x14ac:dyDescent="0.3">
      <c r="A15" s="19">
        <v>9</v>
      </c>
      <c r="B15" s="6"/>
      <c r="C15" s="10"/>
      <c r="D15" s="11"/>
      <c r="E15" s="20"/>
      <c r="F15" s="21" t="str">
        <f t="shared" si="0"/>
        <v/>
      </c>
      <c r="G15" s="22"/>
      <c r="H15" s="12" t="str">
        <f t="shared" si="1"/>
        <v/>
      </c>
    </row>
    <row r="16" spans="1:8" x14ac:dyDescent="0.3">
      <c r="A16" s="19">
        <v>10</v>
      </c>
      <c r="B16" s="6"/>
      <c r="C16" s="10"/>
      <c r="D16" s="11"/>
      <c r="E16" s="20"/>
      <c r="F16" s="21" t="str">
        <f t="shared" si="0"/>
        <v/>
      </c>
      <c r="G16" s="22"/>
      <c r="H16" s="12" t="str">
        <f t="shared" si="1"/>
        <v/>
      </c>
    </row>
    <row r="17" spans="1:8" x14ac:dyDescent="0.3">
      <c r="A17" s="19">
        <v>11</v>
      </c>
      <c r="B17" s="6"/>
      <c r="C17" s="10"/>
      <c r="D17" s="11"/>
      <c r="E17" s="20"/>
      <c r="F17" s="21" t="str">
        <f t="shared" si="0"/>
        <v/>
      </c>
      <c r="G17" s="22"/>
      <c r="H17" s="12" t="str">
        <f t="shared" si="1"/>
        <v/>
      </c>
    </row>
    <row r="18" spans="1:8" x14ac:dyDescent="0.3">
      <c r="A18" s="19">
        <v>12</v>
      </c>
      <c r="B18" s="6"/>
      <c r="C18" s="10"/>
      <c r="D18" s="11"/>
      <c r="E18" s="20"/>
      <c r="F18" s="21" t="str">
        <f t="shared" si="0"/>
        <v/>
      </c>
      <c r="G18" s="22"/>
      <c r="H18" s="12" t="str">
        <f t="shared" si="1"/>
        <v/>
      </c>
    </row>
    <row r="19" spans="1:8" x14ac:dyDescent="0.3">
      <c r="A19" s="19">
        <v>13</v>
      </c>
      <c r="B19" s="6"/>
      <c r="C19" s="10"/>
      <c r="D19" s="11"/>
      <c r="E19" s="20"/>
      <c r="F19" s="21" t="str">
        <f t="shared" si="0"/>
        <v/>
      </c>
      <c r="G19" s="22"/>
      <c r="H19" s="12" t="str">
        <f t="shared" si="1"/>
        <v/>
      </c>
    </row>
    <row r="20" spans="1:8" x14ac:dyDescent="0.3">
      <c r="A20" s="19">
        <v>14</v>
      </c>
      <c r="B20" s="6"/>
      <c r="C20" s="10"/>
      <c r="D20" s="11"/>
      <c r="E20" s="20"/>
      <c r="F20" s="21" t="str">
        <f t="shared" si="0"/>
        <v/>
      </c>
      <c r="G20" s="22"/>
      <c r="H20" s="12" t="str">
        <f t="shared" si="1"/>
        <v/>
      </c>
    </row>
    <row r="21" spans="1:8" x14ac:dyDescent="0.3">
      <c r="A21" s="19">
        <v>15</v>
      </c>
      <c r="B21" s="6"/>
      <c r="C21" s="10"/>
      <c r="D21" s="11"/>
      <c r="E21" s="20"/>
      <c r="F21" s="21" t="str">
        <f t="shared" si="0"/>
        <v/>
      </c>
      <c r="G21" s="22"/>
      <c r="H21" s="12" t="str">
        <f t="shared" si="1"/>
        <v/>
      </c>
    </row>
    <row r="22" spans="1:8" x14ac:dyDescent="0.3">
      <c r="A22" s="19">
        <v>16</v>
      </c>
      <c r="B22" s="6"/>
      <c r="C22" s="10"/>
      <c r="D22" s="11"/>
      <c r="E22" s="20"/>
      <c r="F22" s="21" t="str">
        <f t="shared" si="0"/>
        <v/>
      </c>
      <c r="G22" s="22"/>
      <c r="H22" s="12" t="str">
        <f t="shared" si="1"/>
        <v/>
      </c>
    </row>
    <row r="23" spans="1:8" x14ac:dyDescent="0.3">
      <c r="A23" s="19">
        <v>17</v>
      </c>
      <c r="B23" s="6"/>
      <c r="C23" s="10"/>
      <c r="D23" s="11"/>
      <c r="E23" s="20"/>
      <c r="F23" s="21" t="str">
        <f t="shared" si="0"/>
        <v/>
      </c>
      <c r="G23" s="22"/>
      <c r="H23" s="12" t="str">
        <f t="shared" si="1"/>
        <v/>
      </c>
    </row>
    <row r="24" spans="1:8" x14ac:dyDescent="0.3">
      <c r="A24" s="19">
        <v>18</v>
      </c>
      <c r="B24" s="6"/>
      <c r="C24" s="10"/>
      <c r="D24" s="11"/>
      <c r="E24" s="20"/>
      <c r="F24" s="21" t="str">
        <f t="shared" si="0"/>
        <v/>
      </c>
      <c r="G24" s="22"/>
      <c r="H24" s="12" t="str">
        <f t="shared" si="1"/>
        <v/>
      </c>
    </row>
    <row r="25" spans="1:8" x14ac:dyDescent="0.3">
      <c r="A25" s="19">
        <v>19</v>
      </c>
      <c r="B25" s="6"/>
      <c r="C25" s="10"/>
      <c r="D25" s="11"/>
      <c r="E25" s="20"/>
      <c r="F25" s="21" t="str">
        <f t="shared" si="0"/>
        <v/>
      </c>
      <c r="G25" s="22"/>
      <c r="H25" s="12" t="str">
        <f t="shared" si="1"/>
        <v/>
      </c>
    </row>
    <row r="26" spans="1:8" x14ac:dyDescent="0.3">
      <c r="A26" s="19">
        <v>20</v>
      </c>
      <c r="B26" s="6"/>
      <c r="C26" s="10"/>
      <c r="D26" s="11"/>
      <c r="E26" s="20"/>
      <c r="F26" s="21" t="str">
        <f t="shared" si="0"/>
        <v/>
      </c>
      <c r="G26" s="22"/>
      <c r="H26" s="12" t="str">
        <f t="shared" si="1"/>
        <v/>
      </c>
    </row>
    <row r="27" spans="1:8" x14ac:dyDescent="0.3">
      <c r="A27" s="19">
        <v>21</v>
      </c>
      <c r="B27" s="6"/>
      <c r="C27" s="10"/>
      <c r="D27" s="11"/>
      <c r="E27" s="20"/>
      <c r="F27" s="21" t="str">
        <f t="shared" si="0"/>
        <v/>
      </c>
      <c r="G27" s="22"/>
      <c r="H27" s="12" t="str">
        <f t="shared" si="1"/>
        <v/>
      </c>
    </row>
    <row r="28" spans="1:8" x14ac:dyDescent="0.3">
      <c r="A28" s="19">
        <v>22</v>
      </c>
      <c r="B28" s="6"/>
      <c r="C28" s="10"/>
      <c r="D28" s="11"/>
      <c r="E28" s="20"/>
      <c r="F28" s="21" t="str">
        <f t="shared" si="0"/>
        <v/>
      </c>
      <c r="G28" s="22"/>
      <c r="H28" s="12" t="str">
        <f t="shared" si="1"/>
        <v/>
      </c>
    </row>
    <row r="29" spans="1:8" x14ac:dyDescent="0.3">
      <c r="A29" s="19">
        <v>23</v>
      </c>
      <c r="B29" s="6"/>
      <c r="C29" s="10"/>
      <c r="D29" s="11"/>
      <c r="E29" s="20"/>
      <c r="F29" s="21" t="str">
        <f t="shared" si="0"/>
        <v/>
      </c>
      <c r="G29" s="22"/>
      <c r="H29" s="12" t="str">
        <f t="shared" si="1"/>
        <v/>
      </c>
    </row>
    <row r="30" spans="1:8" x14ac:dyDescent="0.3">
      <c r="A30" s="19">
        <v>24</v>
      </c>
      <c r="B30" s="6"/>
      <c r="C30" s="10"/>
      <c r="D30" s="11"/>
      <c r="E30" s="20"/>
      <c r="F30" s="21" t="str">
        <f t="shared" si="0"/>
        <v/>
      </c>
      <c r="G30" s="22"/>
      <c r="H30" s="12" t="str">
        <f t="shared" si="1"/>
        <v/>
      </c>
    </row>
    <row r="31" spans="1:8" x14ac:dyDescent="0.3">
      <c r="A31" s="19">
        <v>25</v>
      </c>
      <c r="B31" s="6"/>
      <c r="C31" s="10"/>
      <c r="D31" s="11"/>
      <c r="E31" s="20"/>
      <c r="F31" s="21" t="str">
        <f t="shared" si="0"/>
        <v/>
      </c>
      <c r="G31" s="22"/>
      <c r="H31" s="12" t="str">
        <f t="shared" si="1"/>
        <v/>
      </c>
    </row>
    <row r="32" spans="1:8" x14ac:dyDescent="0.3">
      <c r="A32" s="19">
        <v>26</v>
      </c>
      <c r="B32" s="6"/>
      <c r="C32" s="10"/>
      <c r="D32" s="11"/>
      <c r="E32" s="20"/>
      <c r="F32" s="21" t="str">
        <f t="shared" si="0"/>
        <v/>
      </c>
      <c r="G32" s="22"/>
      <c r="H32" s="12" t="str">
        <f t="shared" si="1"/>
        <v/>
      </c>
    </row>
    <row r="33" spans="1:8" x14ac:dyDescent="0.3">
      <c r="A33" s="19">
        <v>27</v>
      </c>
      <c r="B33" s="6"/>
      <c r="C33" s="10"/>
      <c r="D33" s="11"/>
      <c r="E33" s="20"/>
      <c r="F33" s="21" t="str">
        <f t="shared" si="0"/>
        <v/>
      </c>
      <c r="G33" s="22"/>
      <c r="H33" s="12" t="str">
        <f t="shared" si="1"/>
        <v/>
      </c>
    </row>
    <row r="34" spans="1:8" x14ac:dyDescent="0.3">
      <c r="A34" s="19">
        <v>28</v>
      </c>
      <c r="B34" s="6"/>
      <c r="C34" s="10"/>
      <c r="D34" s="11"/>
      <c r="E34" s="20"/>
      <c r="F34" s="21" t="str">
        <f t="shared" si="0"/>
        <v/>
      </c>
      <c r="G34" s="22"/>
      <c r="H34" s="12" t="str">
        <f t="shared" si="1"/>
        <v/>
      </c>
    </row>
    <row r="35" spans="1:8" x14ac:dyDescent="0.3">
      <c r="A35" s="19">
        <v>29</v>
      </c>
      <c r="B35" s="6"/>
      <c r="C35" s="10"/>
      <c r="D35" s="11"/>
      <c r="E35" s="20"/>
      <c r="F35" s="21" t="str">
        <f t="shared" si="0"/>
        <v/>
      </c>
      <c r="G35" s="22"/>
      <c r="H35" s="12" t="str">
        <f t="shared" si="1"/>
        <v/>
      </c>
    </row>
    <row r="36" spans="1:8" x14ac:dyDescent="0.3">
      <c r="A36" s="19">
        <v>30</v>
      </c>
      <c r="B36" s="6"/>
      <c r="C36" s="10"/>
      <c r="D36" s="11"/>
      <c r="E36" s="20"/>
      <c r="F36" s="21" t="str">
        <f t="shared" si="0"/>
        <v/>
      </c>
      <c r="G36" s="22"/>
      <c r="H36" s="12" t="str">
        <f t="shared" si="1"/>
        <v/>
      </c>
    </row>
    <row r="37" spans="1:8" x14ac:dyDescent="0.3">
      <c r="B37" s="16" t="s">
        <v>51</v>
      </c>
      <c r="C37" s="17">
        <f>SUM(C7:C36)</f>
        <v>82000000</v>
      </c>
    </row>
  </sheetData>
  <dataValidations count="1">
    <dataValidation type="list" allowBlank="1" errorTitle="Valor no válido" error="Elige Sí o No" sqref="G7:G36" xr:uid="{00000000-0002-0000-0200-000000000000}">
      <formula1>"Sí,No"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700"/>
  </sheetPr>
  <dimension ref="A1:O44"/>
  <sheetViews>
    <sheetView showGridLines="0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8.6640625" defaultRowHeight="14.4" x14ac:dyDescent="0.3"/>
  <cols>
    <col min="1" max="1" width="6" customWidth="1"/>
    <col min="2" max="2" width="30" customWidth="1"/>
    <col min="3" max="3" width="16" customWidth="1"/>
    <col min="4" max="6" width="14" customWidth="1"/>
    <col min="7" max="8" width="12" customWidth="1"/>
    <col min="9" max="10" width="16" customWidth="1"/>
    <col min="11" max="12" width="18" customWidth="1"/>
    <col min="13" max="14" width="12" customWidth="1"/>
    <col min="15" max="15" width="14" customWidth="1"/>
  </cols>
  <sheetData>
    <row r="1" spans="1:15" ht="21" x14ac:dyDescent="0.4">
      <c r="A1" s="2" t="s">
        <v>52</v>
      </c>
    </row>
    <row r="2" spans="1:15" x14ac:dyDescent="0.3">
      <c r="A2" s="3" t="s">
        <v>53</v>
      </c>
    </row>
    <row r="4" spans="1:15" x14ac:dyDescent="0.3">
      <c r="A4" s="9" t="s">
        <v>54</v>
      </c>
      <c r="D4" s="23">
        <v>0.9</v>
      </c>
    </row>
    <row r="5" spans="1:15" x14ac:dyDescent="0.3">
      <c r="A5" s="9" t="s">
        <v>55</v>
      </c>
      <c r="D5" s="23">
        <v>1.4999999999999999E-2</v>
      </c>
    </row>
    <row r="6" spans="1:15" x14ac:dyDescent="0.3">
      <c r="A6" s="9" t="s">
        <v>56</v>
      </c>
      <c r="D6" s="23">
        <v>5.0000000000000001E-3</v>
      </c>
    </row>
    <row r="7" spans="1:15" x14ac:dyDescent="0.3">
      <c r="A7" s="9" t="s">
        <v>57</v>
      </c>
      <c r="D7" s="10">
        <v>0</v>
      </c>
    </row>
    <row r="8" spans="1:15" x14ac:dyDescent="0.3">
      <c r="A8" s="9" t="s">
        <v>58</v>
      </c>
      <c r="D8" s="24">
        <f>Datos!C6</f>
        <v>46310</v>
      </c>
    </row>
    <row r="11" spans="1:15" ht="54" customHeight="1" x14ac:dyDescent="0.3">
      <c r="A11" s="18" t="s">
        <v>38</v>
      </c>
      <c r="B11" s="18" t="s">
        <v>39</v>
      </c>
      <c r="C11" s="18" t="s">
        <v>59</v>
      </c>
      <c r="D11" s="18" t="s">
        <v>44</v>
      </c>
      <c r="E11" s="18" t="s">
        <v>60</v>
      </c>
      <c r="F11" s="18" t="s">
        <v>61</v>
      </c>
      <c r="G11" s="18" t="s">
        <v>62</v>
      </c>
      <c r="H11" s="18" t="s">
        <v>63</v>
      </c>
      <c r="I11" s="18" t="s">
        <v>64</v>
      </c>
      <c r="J11" s="18" t="s">
        <v>65</v>
      </c>
      <c r="K11" s="18" t="s">
        <v>66</v>
      </c>
      <c r="L11" s="18" t="s">
        <v>67</v>
      </c>
      <c r="M11" s="18" t="s">
        <v>68</v>
      </c>
      <c r="N11" s="18" t="s">
        <v>69</v>
      </c>
      <c r="O11" s="18" t="s">
        <v>45</v>
      </c>
    </row>
    <row r="12" spans="1:15" x14ac:dyDescent="0.3">
      <c r="A12" s="25">
        <f>Facturas!A7</f>
        <v>1</v>
      </c>
      <c r="B12" s="8" t="str">
        <f>IF(Facturas!B7="","",Facturas!B7)</f>
        <v>Empresa pagadora A (ejemplo)</v>
      </c>
      <c r="C12" s="26">
        <f>IF(Facturas!C7="","",Facturas!C7)</f>
        <v>6000000</v>
      </c>
      <c r="D12" s="27" t="str">
        <f>IF(C12="","",IF(Facturas!G7="","No",Facturas!G7))</f>
        <v>No</v>
      </c>
      <c r="E12" s="24">
        <f>IF(Facturas!F7="","",Facturas!F7)</f>
        <v>46314</v>
      </c>
      <c r="F12" s="21">
        <f>IF(OR(C12="",Facturas!D7=""),"",MAX(Facturas!D7,$D$8))</f>
        <v>46310</v>
      </c>
      <c r="G12" s="19">
        <f t="shared" ref="G12:G41" si="0">IF(C12="","",IF(OR(AND(D12&lt;&gt;"Sí",D12&lt;&gt;"Si"),E12="",F12=""),0,IF(E12&gt;F12,1,0)))</f>
        <v>0</v>
      </c>
      <c r="H12" s="28">
        <f t="shared" ref="H12:H41" si="1">IF(C12="","",IF(G12=1,E12-F12,0))</f>
        <v>0</v>
      </c>
      <c r="I12" s="29">
        <f t="shared" ref="I12:I41" si="2">IF(C12="","",IF(G12=1,C12*$D$4,0))</f>
        <v>0</v>
      </c>
      <c r="J12" s="29">
        <f t="shared" ref="J12:J41" si="3">IF(C12="","",IF(G12=1,I12*$D$5*H12/30+C12*$D$6+$D$7,0))</f>
        <v>0</v>
      </c>
      <c r="K12" s="29">
        <f t="shared" ref="K12:K41" si="4">IF(C12="","",IF(G12=1,I12-J12,0))</f>
        <v>0</v>
      </c>
      <c r="L12" s="29">
        <f t="shared" ref="L12:L41" si="5">IF(C12="","",IF(G12=1,C12-I12,0))</f>
        <v>0</v>
      </c>
      <c r="M12" s="12" t="str">
        <f t="shared" ref="M12:M41" si="6">IF(G12=1,DATE(YEAR(F12),MONTH(F12),1),"")</f>
        <v/>
      </c>
      <c r="N12" s="12" t="str">
        <f t="shared" ref="N12:N41" si="7">IF(G12=1,DATE(YEAR(E12),MONTH(E12),1),"")</f>
        <v/>
      </c>
      <c r="O12" s="12">
        <f t="shared" ref="O12:O41" si="8">IF(E12="","",DATE(YEAR(E12),MONTH(E12),1))</f>
        <v>46296</v>
      </c>
    </row>
    <row r="13" spans="1:15" x14ac:dyDescent="0.3">
      <c r="A13" s="25">
        <f>Facturas!A8</f>
        <v>2</v>
      </c>
      <c r="B13" s="8" t="str">
        <f>IF(Facturas!B8="","",Facturas!B8)</f>
        <v>Empresa pagadora B (ejemplo)</v>
      </c>
      <c r="C13" s="26">
        <f>IF(Facturas!C8="","",Facturas!C8)</f>
        <v>12000000</v>
      </c>
      <c r="D13" s="27" t="str">
        <f>IF(C13="","",IF(Facturas!G8="","No",Facturas!G8))</f>
        <v>Sí</v>
      </c>
      <c r="E13" s="24">
        <f>IF(Facturas!F8="","",Facturas!F8)</f>
        <v>46365</v>
      </c>
      <c r="F13" s="21">
        <f>IF(OR(C13="",Facturas!D8=""),"",MAX(Facturas!D8,$D$8))</f>
        <v>46310</v>
      </c>
      <c r="G13" s="19">
        <f t="shared" si="0"/>
        <v>1</v>
      </c>
      <c r="H13" s="28">
        <f t="shared" si="1"/>
        <v>55</v>
      </c>
      <c r="I13" s="29">
        <f t="shared" si="2"/>
        <v>10800000</v>
      </c>
      <c r="J13" s="29">
        <f t="shared" si="3"/>
        <v>357000</v>
      </c>
      <c r="K13" s="29">
        <f t="shared" si="4"/>
        <v>10443000</v>
      </c>
      <c r="L13" s="29">
        <f t="shared" si="5"/>
        <v>1200000</v>
      </c>
      <c r="M13" s="12">
        <f t="shared" si="6"/>
        <v>46296</v>
      </c>
      <c r="N13" s="12">
        <f t="shared" si="7"/>
        <v>46357</v>
      </c>
      <c r="O13" s="12">
        <f t="shared" si="8"/>
        <v>46357</v>
      </c>
    </row>
    <row r="14" spans="1:15" x14ac:dyDescent="0.3">
      <c r="A14" s="25">
        <f>Facturas!A9</f>
        <v>3</v>
      </c>
      <c r="B14" s="8" t="str">
        <f>IF(Facturas!B9="","",Facturas!B9)</f>
        <v>Empresa pagadora A (ejemplo)</v>
      </c>
      <c r="C14" s="26">
        <f>IF(Facturas!C9="","",Facturas!C9)</f>
        <v>9000000</v>
      </c>
      <c r="D14" s="27" t="str">
        <f>IF(C14="","",IF(Facturas!G9="","No",Facturas!G9))</f>
        <v>Sí</v>
      </c>
      <c r="E14" s="24">
        <f>IF(Facturas!F9="","",Facturas!F9)</f>
        <v>46350</v>
      </c>
      <c r="F14" s="21">
        <f>IF(OR(C14="",Facturas!D9=""),"",MAX(Facturas!D9,$D$8))</f>
        <v>46310</v>
      </c>
      <c r="G14" s="19">
        <f t="shared" si="0"/>
        <v>1</v>
      </c>
      <c r="H14" s="28">
        <f t="shared" si="1"/>
        <v>40</v>
      </c>
      <c r="I14" s="29">
        <f t="shared" si="2"/>
        <v>8100000</v>
      </c>
      <c r="J14" s="29">
        <f t="shared" si="3"/>
        <v>207000</v>
      </c>
      <c r="K14" s="29">
        <f t="shared" si="4"/>
        <v>7893000</v>
      </c>
      <c r="L14" s="29">
        <f t="shared" si="5"/>
        <v>900000</v>
      </c>
      <c r="M14" s="12">
        <f t="shared" si="6"/>
        <v>46296</v>
      </c>
      <c r="N14" s="12">
        <f t="shared" si="7"/>
        <v>46327</v>
      </c>
      <c r="O14" s="12">
        <f t="shared" si="8"/>
        <v>46327</v>
      </c>
    </row>
    <row r="15" spans="1:15" x14ac:dyDescent="0.3">
      <c r="A15" s="25">
        <f>Facturas!A10</f>
        <v>4</v>
      </c>
      <c r="B15" s="8" t="str">
        <f>IF(Facturas!B10="","",Facturas!B10)</f>
        <v>Empresa pagadora C (ejemplo)</v>
      </c>
      <c r="C15" s="26">
        <f>IF(Facturas!C10="","",Facturas!C10)</f>
        <v>15000000</v>
      </c>
      <c r="D15" s="27" t="str">
        <f>IF(C15="","",IF(Facturas!G10="","No",Facturas!G10))</f>
        <v>Sí</v>
      </c>
      <c r="E15" s="24">
        <f>IF(Facturas!F10="","",Facturas!F10)</f>
        <v>46390</v>
      </c>
      <c r="F15" s="21">
        <f>IF(OR(C15="",Facturas!D10=""),"",MAX(Facturas!D10,$D$8))</f>
        <v>46310</v>
      </c>
      <c r="G15" s="19">
        <f t="shared" si="0"/>
        <v>1</v>
      </c>
      <c r="H15" s="28">
        <f t="shared" si="1"/>
        <v>80</v>
      </c>
      <c r="I15" s="29">
        <f t="shared" si="2"/>
        <v>13500000</v>
      </c>
      <c r="J15" s="29">
        <f t="shared" si="3"/>
        <v>615000</v>
      </c>
      <c r="K15" s="29">
        <f t="shared" si="4"/>
        <v>12885000</v>
      </c>
      <c r="L15" s="29">
        <f t="shared" si="5"/>
        <v>1500000</v>
      </c>
      <c r="M15" s="12">
        <f t="shared" si="6"/>
        <v>46296</v>
      </c>
      <c r="N15" s="12">
        <f t="shared" si="7"/>
        <v>46388</v>
      </c>
      <c r="O15" s="12">
        <f t="shared" si="8"/>
        <v>46388</v>
      </c>
    </row>
    <row r="16" spans="1:15" x14ac:dyDescent="0.3">
      <c r="A16" s="25">
        <f>Facturas!A11</f>
        <v>5</v>
      </c>
      <c r="B16" s="8" t="str">
        <f>IF(Facturas!B11="","",Facturas!B11)</f>
        <v>Empresa pagadora B (ejemplo)</v>
      </c>
      <c r="C16" s="26">
        <f>IF(Facturas!C11="","",Facturas!C11)</f>
        <v>8000000</v>
      </c>
      <c r="D16" s="27" t="str">
        <f>IF(C16="","",IF(Facturas!G11="","No",Facturas!G11))</f>
        <v>Sí</v>
      </c>
      <c r="E16" s="24">
        <f>IF(Facturas!F11="","",Facturas!F11)</f>
        <v>46367</v>
      </c>
      <c r="F16" s="21">
        <f>IF(OR(C16="",Facturas!D11=""),"",MAX(Facturas!D11,$D$8))</f>
        <v>46310</v>
      </c>
      <c r="G16" s="19">
        <f t="shared" si="0"/>
        <v>1</v>
      </c>
      <c r="H16" s="28">
        <f t="shared" si="1"/>
        <v>57</v>
      </c>
      <c r="I16" s="29">
        <f t="shared" si="2"/>
        <v>7200000</v>
      </c>
      <c r="J16" s="29">
        <f t="shared" si="3"/>
        <v>245200</v>
      </c>
      <c r="K16" s="29">
        <f t="shared" si="4"/>
        <v>6954800</v>
      </c>
      <c r="L16" s="29">
        <f t="shared" si="5"/>
        <v>800000</v>
      </c>
      <c r="M16" s="12">
        <f t="shared" si="6"/>
        <v>46296</v>
      </c>
      <c r="N16" s="12">
        <f t="shared" si="7"/>
        <v>46357</v>
      </c>
      <c r="O16" s="12">
        <f t="shared" si="8"/>
        <v>46357</v>
      </c>
    </row>
    <row r="17" spans="1:15" x14ac:dyDescent="0.3">
      <c r="A17" s="25">
        <f>Facturas!A12</f>
        <v>6</v>
      </c>
      <c r="B17" s="8" t="str">
        <f>IF(Facturas!B12="","",Facturas!B12)</f>
        <v>Empresa pagadora A (ejemplo)</v>
      </c>
      <c r="C17" s="26">
        <f>IF(Facturas!C12="","",Facturas!C12)</f>
        <v>7000000</v>
      </c>
      <c r="D17" s="27" t="str">
        <f>IF(C17="","",IF(Facturas!G12="","No",Facturas!G12))</f>
        <v>No</v>
      </c>
      <c r="E17" s="24">
        <f>IF(Facturas!F12="","",Facturas!F12)</f>
        <v>46396</v>
      </c>
      <c r="F17" s="21">
        <f>IF(OR(C17="",Facturas!D12=""),"",MAX(Facturas!D12,$D$8))</f>
        <v>46336</v>
      </c>
      <c r="G17" s="19">
        <f t="shared" si="0"/>
        <v>0</v>
      </c>
      <c r="H17" s="28">
        <f t="shared" si="1"/>
        <v>0</v>
      </c>
      <c r="I17" s="29">
        <f t="shared" si="2"/>
        <v>0</v>
      </c>
      <c r="J17" s="29">
        <f t="shared" si="3"/>
        <v>0</v>
      </c>
      <c r="K17" s="29">
        <f t="shared" si="4"/>
        <v>0</v>
      </c>
      <c r="L17" s="29">
        <f t="shared" si="5"/>
        <v>0</v>
      </c>
      <c r="M17" s="12" t="str">
        <f t="shared" si="6"/>
        <v/>
      </c>
      <c r="N17" s="12" t="str">
        <f t="shared" si="7"/>
        <v/>
      </c>
      <c r="O17" s="12">
        <f t="shared" si="8"/>
        <v>46388</v>
      </c>
    </row>
    <row r="18" spans="1:15" x14ac:dyDescent="0.3">
      <c r="A18" s="25">
        <f>Facturas!A13</f>
        <v>7</v>
      </c>
      <c r="B18" s="8" t="str">
        <f>IF(Facturas!B13="","",Facturas!B13)</f>
        <v>Empresa pagadora C (ejemplo)</v>
      </c>
      <c r="C18" s="26">
        <f>IF(Facturas!C13="","",Facturas!C13)</f>
        <v>13000000</v>
      </c>
      <c r="D18" s="27" t="str">
        <f>IF(C18="","",IF(Facturas!G13="","No",Facturas!G13))</f>
        <v>No</v>
      </c>
      <c r="E18" s="24">
        <f>IF(Facturas!F13="","",Facturas!F13)</f>
        <v>46426</v>
      </c>
      <c r="F18" s="21">
        <f>IF(OR(C18="",Facturas!D13=""),"",MAX(Facturas!D13,$D$8))</f>
        <v>46366</v>
      </c>
      <c r="G18" s="19">
        <f t="shared" si="0"/>
        <v>0</v>
      </c>
      <c r="H18" s="28">
        <f t="shared" si="1"/>
        <v>0</v>
      </c>
      <c r="I18" s="29">
        <f t="shared" si="2"/>
        <v>0</v>
      </c>
      <c r="J18" s="29">
        <f t="shared" si="3"/>
        <v>0</v>
      </c>
      <c r="K18" s="29">
        <f t="shared" si="4"/>
        <v>0</v>
      </c>
      <c r="L18" s="29">
        <f t="shared" si="5"/>
        <v>0</v>
      </c>
      <c r="M18" s="12" t="str">
        <f t="shared" si="6"/>
        <v/>
      </c>
      <c r="N18" s="12" t="str">
        <f t="shared" si="7"/>
        <v/>
      </c>
      <c r="O18" s="12">
        <f t="shared" si="8"/>
        <v>46419</v>
      </c>
    </row>
    <row r="19" spans="1:15" x14ac:dyDescent="0.3">
      <c r="A19" s="25">
        <f>Facturas!A14</f>
        <v>8</v>
      </c>
      <c r="B19" s="8" t="str">
        <f>IF(Facturas!B14="","",Facturas!B14)</f>
        <v>Empresa pagadora B (ejemplo)</v>
      </c>
      <c r="C19" s="26">
        <f>IF(Facturas!C14="","",Facturas!C14)</f>
        <v>12000000</v>
      </c>
      <c r="D19" s="27" t="str">
        <f>IF(C19="","",IF(Facturas!G14="","No",Facturas!G14))</f>
        <v>No</v>
      </c>
      <c r="E19" s="24">
        <f>IF(Facturas!F14="","",Facturas!F14)</f>
        <v>46459</v>
      </c>
      <c r="F19" s="21">
        <f>IF(OR(C19="",Facturas!D14=""),"",MAX(Facturas!D14,$D$8))</f>
        <v>46399</v>
      </c>
      <c r="G19" s="19">
        <f t="shared" si="0"/>
        <v>0</v>
      </c>
      <c r="H19" s="28">
        <f t="shared" si="1"/>
        <v>0</v>
      </c>
      <c r="I19" s="29">
        <f t="shared" si="2"/>
        <v>0</v>
      </c>
      <c r="J19" s="29">
        <f t="shared" si="3"/>
        <v>0</v>
      </c>
      <c r="K19" s="29">
        <f t="shared" si="4"/>
        <v>0</v>
      </c>
      <c r="L19" s="29">
        <f t="shared" si="5"/>
        <v>0</v>
      </c>
      <c r="M19" s="12" t="str">
        <f t="shared" si="6"/>
        <v/>
      </c>
      <c r="N19" s="12" t="str">
        <f t="shared" si="7"/>
        <v/>
      </c>
      <c r="O19" s="12">
        <f t="shared" si="8"/>
        <v>46447</v>
      </c>
    </row>
    <row r="20" spans="1:15" x14ac:dyDescent="0.3">
      <c r="A20" s="25">
        <f>Facturas!A15</f>
        <v>9</v>
      </c>
      <c r="B20" s="8" t="str">
        <f>IF(Facturas!B15="","",Facturas!B15)</f>
        <v/>
      </c>
      <c r="C20" s="26" t="str">
        <f>IF(Facturas!C15="","",Facturas!C15)</f>
        <v/>
      </c>
      <c r="D20" s="27" t="str">
        <f>IF(C20="","",IF(Facturas!G15="","No",Facturas!G15))</f>
        <v/>
      </c>
      <c r="E20" s="24" t="str">
        <f>IF(Facturas!F15="","",Facturas!F15)</f>
        <v/>
      </c>
      <c r="F20" s="21" t="str">
        <f>IF(OR(C20="",Facturas!D15=""),"",MAX(Facturas!D15,$D$8))</f>
        <v/>
      </c>
      <c r="G20" s="19" t="str">
        <f t="shared" si="0"/>
        <v/>
      </c>
      <c r="H20" s="28" t="str">
        <f t="shared" si="1"/>
        <v/>
      </c>
      <c r="I20" s="29" t="str">
        <f t="shared" si="2"/>
        <v/>
      </c>
      <c r="J20" s="29" t="str">
        <f t="shared" si="3"/>
        <v/>
      </c>
      <c r="K20" s="29" t="str">
        <f t="shared" si="4"/>
        <v/>
      </c>
      <c r="L20" s="29" t="str">
        <f t="shared" si="5"/>
        <v/>
      </c>
      <c r="M20" s="12" t="str">
        <f t="shared" si="6"/>
        <v/>
      </c>
      <c r="N20" s="12" t="str">
        <f t="shared" si="7"/>
        <v/>
      </c>
      <c r="O20" s="12" t="str">
        <f t="shared" si="8"/>
        <v/>
      </c>
    </row>
    <row r="21" spans="1:15" x14ac:dyDescent="0.3">
      <c r="A21" s="25">
        <f>Facturas!A16</f>
        <v>10</v>
      </c>
      <c r="B21" s="8" t="str">
        <f>IF(Facturas!B16="","",Facturas!B16)</f>
        <v/>
      </c>
      <c r="C21" s="26" t="str">
        <f>IF(Facturas!C16="","",Facturas!C16)</f>
        <v/>
      </c>
      <c r="D21" s="27" t="str">
        <f>IF(C21="","",IF(Facturas!G16="","No",Facturas!G16))</f>
        <v/>
      </c>
      <c r="E21" s="24" t="str">
        <f>IF(Facturas!F16="","",Facturas!F16)</f>
        <v/>
      </c>
      <c r="F21" s="21" t="str">
        <f>IF(OR(C21="",Facturas!D16=""),"",MAX(Facturas!D16,$D$8))</f>
        <v/>
      </c>
      <c r="G21" s="19" t="str">
        <f t="shared" si="0"/>
        <v/>
      </c>
      <c r="H21" s="28" t="str">
        <f t="shared" si="1"/>
        <v/>
      </c>
      <c r="I21" s="29" t="str">
        <f t="shared" si="2"/>
        <v/>
      </c>
      <c r="J21" s="29" t="str">
        <f t="shared" si="3"/>
        <v/>
      </c>
      <c r="K21" s="29" t="str">
        <f t="shared" si="4"/>
        <v/>
      </c>
      <c r="L21" s="29" t="str">
        <f t="shared" si="5"/>
        <v/>
      </c>
      <c r="M21" s="12" t="str">
        <f t="shared" si="6"/>
        <v/>
      </c>
      <c r="N21" s="12" t="str">
        <f t="shared" si="7"/>
        <v/>
      </c>
      <c r="O21" s="12" t="str">
        <f t="shared" si="8"/>
        <v/>
      </c>
    </row>
    <row r="22" spans="1:15" x14ac:dyDescent="0.3">
      <c r="A22" s="25">
        <f>Facturas!A17</f>
        <v>11</v>
      </c>
      <c r="B22" s="8" t="str">
        <f>IF(Facturas!B17="","",Facturas!B17)</f>
        <v/>
      </c>
      <c r="C22" s="26" t="str">
        <f>IF(Facturas!C17="","",Facturas!C17)</f>
        <v/>
      </c>
      <c r="D22" s="27" t="str">
        <f>IF(C22="","",IF(Facturas!G17="","No",Facturas!G17))</f>
        <v/>
      </c>
      <c r="E22" s="24" t="str">
        <f>IF(Facturas!F17="","",Facturas!F17)</f>
        <v/>
      </c>
      <c r="F22" s="21" t="str">
        <f>IF(OR(C22="",Facturas!D17=""),"",MAX(Facturas!D17,$D$8))</f>
        <v/>
      </c>
      <c r="G22" s="19" t="str">
        <f t="shared" si="0"/>
        <v/>
      </c>
      <c r="H22" s="28" t="str">
        <f t="shared" si="1"/>
        <v/>
      </c>
      <c r="I22" s="29" t="str">
        <f t="shared" si="2"/>
        <v/>
      </c>
      <c r="J22" s="29" t="str">
        <f t="shared" si="3"/>
        <v/>
      </c>
      <c r="K22" s="29" t="str">
        <f t="shared" si="4"/>
        <v/>
      </c>
      <c r="L22" s="29" t="str">
        <f t="shared" si="5"/>
        <v/>
      </c>
      <c r="M22" s="12" t="str">
        <f t="shared" si="6"/>
        <v/>
      </c>
      <c r="N22" s="12" t="str">
        <f t="shared" si="7"/>
        <v/>
      </c>
      <c r="O22" s="12" t="str">
        <f t="shared" si="8"/>
        <v/>
      </c>
    </row>
    <row r="23" spans="1:15" x14ac:dyDescent="0.3">
      <c r="A23" s="25">
        <f>Facturas!A18</f>
        <v>12</v>
      </c>
      <c r="B23" s="8" t="str">
        <f>IF(Facturas!B18="","",Facturas!B18)</f>
        <v/>
      </c>
      <c r="C23" s="26" t="str">
        <f>IF(Facturas!C18="","",Facturas!C18)</f>
        <v/>
      </c>
      <c r="D23" s="27" t="str">
        <f>IF(C23="","",IF(Facturas!G18="","No",Facturas!G18))</f>
        <v/>
      </c>
      <c r="E23" s="24" t="str">
        <f>IF(Facturas!F18="","",Facturas!F18)</f>
        <v/>
      </c>
      <c r="F23" s="21" t="str">
        <f>IF(OR(C23="",Facturas!D18=""),"",MAX(Facturas!D18,$D$8))</f>
        <v/>
      </c>
      <c r="G23" s="19" t="str">
        <f t="shared" si="0"/>
        <v/>
      </c>
      <c r="H23" s="28" t="str">
        <f t="shared" si="1"/>
        <v/>
      </c>
      <c r="I23" s="29" t="str">
        <f t="shared" si="2"/>
        <v/>
      </c>
      <c r="J23" s="29" t="str">
        <f t="shared" si="3"/>
        <v/>
      </c>
      <c r="K23" s="29" t="str">
        <f t="shared" si="4"/>
        <v/>
      </c>
      <c r="L23" s="29" t="str">
        <f t="shared" si="5"/>
        <v/>
      </c>
      <c r="M23" s="12" t="str">
        <f t="shared" si="6"/>
        <v/>
      </c>
      <c r="N23" s="12" t="str">
        <f t="shared" si="7"/>
        <v/>
      </c>
      <c r="O23" s="12" t="str">
        <f t="shared" si="8"/>
        <v/>
      </c>
    </row>
    <row r="24" spans="1:15" x14ac:dyDescent="0.3">
      <c r="A24" s="25">
        <f>Facturas!A19</f>
        <v>13</v>
      </c>
      <c r="B24" s="8" t="str">
        <f>IF(Facturas!B19="","",Facturas!B19)</f>
        <v/>
      </c>
      <c r="C24" s="26" t="str">
        <f>IF(Facturas!C19="","",Facturas!C19)</f>
        <v/>
      </c>
      <c r="D24" s="27" t="str">
        <f>IF(C24="","",IF(Facturas!G19="","No",Facturas!G19))</f>
        <v/>
      </c>
      <c r="E24" s="24" t="str">
        <f>IF(Facturas!F19="","",Facturas!F19)</f>
        <v/>
      </c>
      <c r="F24" s="21" t="str">
        <f>IF(OR(C24="",Facturas!D19=""),"",MAX(Facturas!D19,$D$8))</f>
        <v/>
      </c>
      <c r="G24" s="19" t="str">
        <f t="shared" si="0"/>
        <v/>
      </c>
      <c r="H24" s="28" t="str">
        <f t="shared" si="1"/>
        <v/>
      </c>
      <c r="I24" s="29" t="str">
        <f t="shared" si="2"/>
        <v/>
      </c>
      <c r="J24" s="29" t="str">
        <f t="shared" si="3"/>
        <v/>
      </c>
      <c r="K24" s="29" t="str">
        <f t="shared" si="4"/>
        <v/>
      </c>
      <c r="L24" s="29" t="str">
        <f t="shared" si="5"/>
        <v/>
      </c>
      <c r="M24" s="12" t="str">
        <f t="shared" si="6"/>
        <v/>
      </c>
      <c r="N24" s="12" t="str">
        <f t="shared" si="7"/>
        <v/>
      </c>
      <c r="O24" s="12" t="str">
        <f t="shared" si="8"/>
        <v/>
      </c>
    </row>
    <row r="25" spans="1:15" x14ac:dyDescent="0.3">
      <c r="A25" s="25">
        <f>Facturas!A20</f>
        <v>14</v>
      </c>
      <c r="B25" s="8" t="str">
        <f>IF(Facturas!B20="","",Facturas!B20)</f>
        <v/>
      </c>
      <c r="C25" s="26" t="str">
        <f>IF(Facturas!C20="","",Facturas!C20)</f>
        <v/>
      </c>
      <c r="D25" s="27" t="str">
        <f>IF(C25="","",IF(Facturas!G20="","No",Facturas!G20))</f>
        <v/>
      </c>
      <c r="E25" s="24" t="str">
        <f>IF(Facturas!F20="","",Facturas!F20)</f>
        <v/>
      </c>
      <c r="F25" s="21" t="str">
        <f>IF(OR(C25="",Facturas!D20=""),"",MAX(Facturas!D20,$D$8))</f>
        <v/>
      </c>
      <c r="G25" s="19" t="str">
        <f t="shared" si="0"/>
        <v/>
      </c>
      <c r="H25" s="28" t="str">
        <f t="shared" si="1"/>
        <v/>
      </c>
      <c r="I25" s="29" t="str">
        <f t="shared" si="2"/>
        <v/>
      </c>
      <c r="J25" s="29" t="str">
        <f t="shared" si="3"/>
        <v/>
      </c>
      <c r="K25" s="29" t="str">
        <f t="shared" si="4"/>
        <v/>
      </c>
      <c r="L25" s="29" t="str">
        <f t="shared" si="5"/>
        <v/>
      </c>
      <c r="M25" s="12" t="str">
        <f t="shared" si="6"/>
        <v/>
      </c>
      <c r="N25" s="12" t="str">
        <f t="shared" si="7"/>
        <v/>
      </c>
      <c r="O25" s="12" t="str">
        <f t="shared" si="8"/>
        <v/>
      </c>
    </row>
    <row r="26" spans="1:15" x14ac:dyDescent="0.3">
      <c r="A26" s="25">
        <f>Facturas!A21</f>
        <v>15</v>
      </c>
      <c r="B26" s="8" t="str">
        <f>IF(Facturas!B21="","",Facturas!B21)</f>
        <v/>
      </c>
      <c r="C26" s="26" t="str">
        <f>IF(Facturas!C21="","",Facturas!C21)</f>
        <v/>
      </c>
      <c r="D26" s="27" t="str">
        <f>IF(C26="","",IF(Facturas!G21="","No",Facturas!G21))</f>
        <v/>
      </c>
      <c r="E26" s="24" t="str">
        <f>IF(Facturas!F21="","",Facturas!F21)</f>
        <v/>
      </c>
      <c r="F26" s="21" t="str">
        <f>IF(OR(C26="",Facturas!D21=""),"",MAX(Facturas!D21,$D$8))</f>
        <v/>
      </c>
      <c r="G26" s="19" t="str">
        <f t="shared" si="0"/>
        <v/>
      </c>
      <c r="H26" s="28" t="str">
        <f t="shared" si="1"/>
        <v/>
      </c>
      <c r="I26" s="29" t="str">
        <f t="shared" si="2"/>
        <v/>
      </c>
      <c r="J26" s="29" t="str">
        <f t="shared" si="3"/>
        <v/>
      </c>
      <c r="K26" s="29" t="str">
        <f t="shared" si="4"/>
        <v/>
      </c>
      <c r="L26" s="29" t="str">
        <f t="shared" si="5"/>
        <v/>
      </c>
      <c r="M26" s="12" t="str">
        <f t="shared" si="6"/>
        <v/>
      </c>
      <c r="N26" s="12" t="str">
        <f t="shared" si="7"/>
        <v/>
      </c>
      <c r="O26" s="12" t="str">
        <f t="shared" si="8"/>
        <v/>
      </c>
    </row>
    <row r="27" spans="1:15" x14ac:dyDescent="0.3">
      <c r="A27" s="25">
        <f>Facturas!A22</f>
        <v>16</v>
      </c>
      <c r="B27" s="8" t="str">
        <f>IF(Facturas!B22="","",Facturas!B22)</f>
        <v/>
      </c>
      <c r="C27" s="26" t="str">
        <f>IF(Facturas!C22="","",Facturas!C22)</f>
        <v/>
      </c>
      <c r="D27" s="27" t="str">
        <f>IF(C27="","",IF(Facturas!G22="","No",Facturas!G22))</f>
        <v/>
      </c>
      <c r="E27" s="24" t="str">
        <f>IF(Facturas!F22="","",Facturas!F22)</f>
        <v/>
      </c>
      <c r="F27" s="21" t="str">
        <f>IF(OR(C27="",Facturas!D22=""),"",MAX(Facturas!D22,$D$8))</f>
        <v/>
      </c>
      <c r="G27" s="19" t="str">
        <f t="shared" si="0"/>
        <v/>
      </c>
      <c r="H27" s="28" t="str">
        <f t="shared" si="1"/>
        <v/>
      </c>
      <c r="I27" s="29" t="str">
        <f t="shared" si="2"/>
        <v/>
      </c>
      <c r="J27" s="29" t="str">
        <f t="shared" si="3"/>
        <v/>
      </c>
      <c r="K27" s="29" t="str">
        <f t="shared" si="4"/>
        <v/>
      </c>
      <c r="L27" s="29" t="str">
        <f t="shared" si="5"/>
        <v/>
      </c>
      <c r="M27" s="12" t="str">
        <f t="shared" si="6"/>
        <v/>
      </c>
      <c r="N27" s="12" t="str">
        <f t="shared" si="7"/>
        <v/>
      </c>
      <c r="O27" s="12" t="str">
        <f t="shared" si="8"/>
        <v/>
      </c>
    </row>
    <row r="28" spans="1:15" x14ac:dyDescent="0.3">
      <c r="A28" s="25">
        <f>Facturas!A23</f>
        <v>17</v>
      </c>
      <c r="B28" s="8" t="str">
        <f>IF(Facturas!B23="","",Facturas!B23)</f>
        <v/>
      </c>
      <c r="C28" s="26" t="str">
        <f>IF(Facturas!C23="","",Facturas!C23)</f>
        <v/>
      </c>
      <c r="D28" s="27" t="str">
        <f>IF(C28="","",IF(Facturas!G23="","No",Facturas!G23))</f>
        <v/>
      </c>
      <c r="E28" s="24" t="str">
        <f>IF(Facturas!F23="","",Facturas!F23)</f>
        <v/>
      </c>
      <c r="F28" s="21" t="str">
        <f>IF(OR(C28="",Facturas!D23=""),"",MAX(Facturas!D23,$D$8))</f>
        <v/>
      </c>
      <c r="G28" s="19" t="str">
        <f t="shared" si="0"/>
        <v/>
      </c>
      <c r="H28" s="28" t="str">
        <f t="shared" si="1"/>
        <v/>
      </c>
      <c r="I28" s="29" t="str">
        <f t="shared" si="2"/>
        <v/>
      </c>
      <c r="J28" s="29" t="str">
        <f t="shared" si="3"/>
        <v/>
      </c>
      <c r="K28" s="29" t="str">
        <f t="shared" si="4"/>
        <v/>
      </c>
      <c r="L28" s="29" t="str">
        <f t="shared" si="5"/>
        <v/>
      </c>
      <c r="M28" s="12" t="str">
        <f t="shared" si="6"/>
        <v/>
      </c>
      <c r="N28" s="12" t="str">
        <f t="shared" si="7"/>
        <v/>
      </c>
      <c r="O28" s="12" t="str">
        <f t="shared" si="8"/>
        <v/>
      </c>
    </row>
    <row r="29" spans="1:15" x14ac:dyDescent="0.3">
      <c r="A29" s="25">
        <f>Facturas!A24</f>
        <v>18</v>
      </c>
      <c r="B29" s="8" t="str">
        <f>IF(Facturas!B24="","",Facturas!B24)</f>
        <v/>
      </c>
      <c r="C29" s="26" t="str">
        <f>IF(Facturas!C24="","",Facturas!C24)</f>
        <v/>
      </c>
      <c r="D29" s="27" t="str">
        <f>IF(C29="","",IF(Facturas!G24="","No",Facturas!G24))</f>
        <v/>
      </c>
      <c r="E29" s="24" t="str">
        <f>IF(Facturas!F24="","",Facturas!F24)</f>
        <v/>
      </c>
      <c r="F29" s="21" t="str">
        <f>IF(OR(C29="",Facturas!D24=""),"",MAX(Facturas!D24,$D$8))</f>
        <v/>
      </c>
      <c r="G29" s="19" t="str">
        <f t="shared" si="0"/>
        <v/>
      </c>
      <c r="H29" s="28" t="str">
        <f t="shared" si="1"/>
        <v/>
      </c>
      <c r="I29" s="29" t="str">
        <f t="shared" si="2"/>
        <v/>
      </c>
      <c r="J29" s="29" t="str">
        <f t="shared" si="3"/>
        <v/>
      </c>
      <c r="K29" s="29" t="str">
        <f t="shared" si="4"/>
        <v/>
      </c>
      <c r="L29" s="29" t="str">
        <f t="shared" si="5"/>
        <v/>
      </c>
      <c r="M29" s="12" t="str">
        <f t="shared" si="6"/>
        <v/>
      </c>
      <c r="N29" s="12" t="str">
        <f t="shared" si="7"/>
        <v/>
      </c>
      <c r="O29" s="12" t="str">
        <f t="shared" si="8"/>
        <v/>
      </c>
    </row>
    <row r="30" spans="1:15" x14ac:dyDescent="0.3">
      <c r="A30" s="25">
        <f>Facturas!A25</f>
        <v>19</v>
      </c>
      <c r="B30" s="8" t="str">
        <f>IF(Facturas!B25="","",Facturas!B25)</f>
        <v/>
      </c>
      <c r="C30" s="26" t="str">
        <f>IF(Facturas!C25="","",Facturas!C25)</f>
        <v/>
      </c>
      <c r="D30" s="27" t="str">
        <f>IF(C30="","",IF(Facturas!G25="","No",Facturas!G25))</f>
        <v/>
      </c>
      <c r="E30" s="24" t="str">
        <f>IF(Facturas!F25="","",Facturas!F25)</f>
        <v/>
      </c>
      <c r="F30" s="21" t="str">
        <f>IF(OR(C30="",Facturas!D25=""),"",MAX(Facturas!D25,$D$8))</f>
        <v/>
      </c>
      <c r="G30" s="19" t="str">
        <f t="shared" si="0"/>
        <v/>
      </c>
      <c r="H30" s="28" t="str">
        <f t="shared" si="1"/>
        <v/>
      </c>
      <c r="I30" s="29" t="str">
        <f t="shared" si="2"/>
        <v/>
      </c>
      <c r="J30" s="29" t="str">
        <f t="shared" si="3"/>
        <v/>
      </c>
      <c r="K30" s="29" t="str">
        <f t="shared" si="4"/>
        <v/>
      </c>
      <c r="L30" s="29" t="str">
        <f t="shared" si="5"/>
        <v/>
      </c>
      <c r="M30" s="12" t="str">
        <f t="shared" si="6"/>
        <v/>
      </c>
      <c r="N30" s="12" t="str">
        <f t="shared" si="7"/>
        <v/>
      </c>
      <c r="O30" s="12" t="str">
        <f t="shared" si="8"/>
        <v/>
      </c>
    </row>
    <row r="31" spans="1:15" x14ac:dyDescent="0.3">
      <c r="A31" s="25">
        <f>Facturas!A26</f>
        <v>20</v>
      </c>
      <c r="B31" s="8" t="str">
        <f>IF(Facturas!B26="","",Facturas!B26)</f>
        <v/>
      </c>
      <c r="C31" s="26" t="str">
        <f>IF(Facturas!C26="","",Facturas!C26)</f>
        <v/>
      </c>
      <c r="D31" s="27" t="str">
        <f>IF(C31="","",IF(Facturas!G26="","No",Facturas!G26))</f>
        <v/>
      </c>
      <c r="E31" s="24" t="str">
        <f>IF(Facturas!F26="","",Facturas!F26)</f>
        <v/>
      </c>
      <c r="F31" s="21" t="str">
        <f>IF(OR(C31="",Facturas!D26=""),"",MAX(Facturas!D26,$D$8))</f>
        <v/>
      </c>
      <c r="G31" s="19" t="str">
        <f t="shared" si="0"/>
        <v/>
      </c>
      <c r="H31" s="28" t="str">
        <f t="shared" si="1"/>
        <v/>
      </c>
      <c r="I31" s="29" t="str">
        <f t="shared" si="2"/>
        <v/>
      </c>
      <c r="J31" s="29" t="str">
        <f t="shared" si="3"/>
        <v/>
      </c>
      <c r="K31" s="29" t="str">
        <f t="shared" si="4"/>
        <v/>
      </c>
      <c r="L31" s="29" t="str">
        <f t="shared" si="5"/>
        <v/>
      </c>
      <c r="M31" s="12" t="str">
        <f t="shared" si="6"/>
        <v/>
      </c>
      <c r="N31" s="12" t="str">
        <f t="shared" si="7"/>
        <v/>
      </c>
      <c r="O31" s="12" t="str">
        <f t="shared" si="8"/>
        <v/>
      </c>
    </row>
    <row r="32" spans="1:15" x14ac:dyDescent="0.3">
      <c r="A32" s="25">
        <f>Facturas!A27</f>
        <v>21</v>
      </c>
      <c r="B32" s="8" t="str">
        <f>IF(Facturas!B27="","",Facturas!B27)</f>
        <v/>
      </c>
      <c r="C32" s="26" t="str">
        <f>IF(Facturas!C27="","",Facturas!C27)</f>
        <v/>
      </c>
      <c r="D32" s="27" t="str">
        <f>IF(C32="","",IF(Facturas!G27="","No",Facturas!G27))</f>
        <v/>
      </c>
      <c r="E32" s="24" t="str">
        <f>IF(Facturas!F27="","",Facturas!F27)</f>
        <v/>
      </c>
      <c r="F32" s="21" t="str">
        <f>IF(OR(C32="",Facturas!D27=""),"",MAX(Facturas!D27,$D$8))</f>
        <v/>
      </c>
      <c r="G32" s="19" t="str">
        <f t="shared" si="0"/>
        <v/>
      </c>
      <c r="H32" s="28" t="str">
        <f t="shared" si="1"/>
        <v/>
      </c>
      <c r="I32" s="29" t="str">
        <f t="shared" si="2"/>
        <v/>
      </c>
      <c r="J32" s="29" t="str">
        <f t="shared" si="3"/>
        <v/>
      </c>
      <c r="K32" s="29" t="str">
        <f t="shared" si="4"/>
        <v/>
      </c>
      <c r="L32" s="29" t="str">
        <f t="shared" si="5"/>
        <v/>
      </c>
      <c r="M32" s="12" t="str">
        <f t="shared" si="6"/>
        <v/>
      </c>
      <c r="N32" s="12" t="str">
        <f t="shared" si="7"/>
        <v/>
      </c>
      <c r="O32" s="12" t="str">
        <f t="shared" si="8"/>
        <v/>
      </c>
    </row>
    <row r="33" spans="1:15" x14ac:dyDescent="0.3">
      <c r="A33" s="25">
        <f>Facturas!A28</f>
        <v>22</v>
      </c>
      <c r="B33" s="8" t="str">
        <f>IF(Facturas!B28="","",Facturas!B28)</f>
        <v/>
      </c>
      <c r="C33" s="26" t="str">
        <f>IF(Facturas!C28="","",Facturas!C28)</f>
        <v/>
      </c>
      <c r="D33" s="27" t="str">
        <f>IF(C33="","",IF(Facturas!G28="","No",Facturas!G28))</f>
        <v/>
      </c>
      <c r="E33" s="24" t="str">
        <f>IF(Facturas!F28="","",Facturas!F28)</f>
        <v/>
      </c>
      <c r="F33" s="21" t="str">
        <f>IF(OR(C33="",Facturas!D28=""),"",MAX(Facturas!D28,$D$8))</f>
        <v/>
      </c>
      <c r="G33" s="19" t="str">
        <f t="shared" si="0"/>
        <v/>
      </c>
      <c r="H33" s="28" t="str">
        <f t="shared" si="1"/>
        <v/>
      </c>
      <c r="I33" s="29" t="str">
        <f t="shared" si="2"/>
        <v/>
      </c>
      <c r="J33" s="29" t="str">
        <f t="shared" si="3"/>
        <v/>
      </c>
      <c r="K33" s="29" t="str">
        <f t="shared" si="4"/>
        <v/>
      </c>
      <c r="L33" s="29" t="str">
        <f t="shared" si="5"/>
        <v/>
      </c>
      <c r="M33" s="12" t="str">
        <f t="shared" si="6"/>
        <v/>
      </c>
      <c r="N33" s="12" t="str">
        <f t="shared" si="7"/>
        <v/>
      </c>
      <c r="O33" s="12" t="str">
        <f t="shared" si="8"/>
        <v/>
      </c>
    </row>
    <row r="34" spans="1:15" x14ac:dyDescent="0.3">
      <c r="A34" s="25">
        <f>Facturas!A29</f>
        <v>23</v>
      </c>
      <c r="B34" s="8" t="str">
        <f>IF(Facturas!B29="","",Facturas!B29)</f>
        <v/>
      </c>
      <c r="C34" s="26" t="str">
        <f>IF(Facturas!C29="","",Facturas!C29)</f>
        <v/>
      </c>
      <c r="D34" s="27" t="str">
        <f>IF(C34="","",IF(Facturas!G29="","No",Facturas!G29))</f>
        <v/>
      </c>
      <c r="E34" s="24" t="str">
        <f>IF(Facturas!F29="","",Facturas!F29)</f>
        <v/>
      </c>
      <c r="F34" s="21" t="str">
        <f>IF(OR(C34="",Facturas!D29=""),"",MAX(Facturas!D29,$D$8))</f>
        <v/>
      </c>
      <c r="G34" s="19" t="str">
        <f t="shared" si="0"/>
        <v/>
      </c>
      <c r="H34" s="28" t="str">
        <f t="shared" si="1"/>
        <v/>
      </c>
      <c r="I34" s="29" t="str">
        <f t="shared" si="2"/>
        <v/>
      </c>
      <c r="J34" s="29" t="str">
        <f t="shared" si="3"/>
        <v/>
      </c>
      <c r="K34" s="29" t="str">
        <f t="shared" si="4"/>
        <v/>
      </c>
      <c r="L34" s="29" t="str">
        <f t="shared" si="5"/>
        <v/>
      </c>
      <c r="M34" s="12" t="str">
        <f t="shared" si="6"/>
        <v/>
      </c>
      <c r="N34" s="12" t="str">
        <f t="shared" si="7"/>
        <v/>
      </c>
      <c r="O34" s="12" t="str">
        <f t="shared" si="8"/>
        <v/>
      </c>
    </row>
    <row r="35" spans="1:15" x14ac:dyDescent="0.3">
      <c r="A35" s="25">
        <f>Facturas!A30</f>
        <v>24</v>
      </c>
      <c r="B35" s="8" t="str">
        <f>IF(Facturas!B30="","",Facturas!B30)</f>
        <v/>
      </c>
      <c r="C35" s="26" t="str">
        <f>IF(Facturas!C30="","",Facturas!C30)</f>
        <v/>
      </c>
      <c r="D35" s="27" t="str">
        <f>IF(C35="","",IF(Facturas!G30="","No",Facturas!G30))</f>
        <v/>
      </c>
      <c r="E35" s="24" t="str">
        <f>IF(Facturas!F30="","",Facturas!F30)</f>
        <v/>
      </c>
      <c r="F35" s="21" t="str">
        <f>IF(OR(C35="",Facturas!D30=""),"",MAX(Facturas!D30,$D$8))</f>
        <v/>
      </c>
      <c r="G35" s="19" t="str">
        <f t="shared" si="0"/>
        <v/>
      </c>
      <c r="H35" s="28" t="str">
        <f t="shared" si="1"/>
        <v/>
      </c>
      <c r="I35" s="29" t="str">
        <f t="shared" si="2"/>
        <v/>
      </c>
      <c r="J35" s="29" t="str">
        <f t="shared" si="3"/>
        <v/>
      </c>
      <c r="K35" s="29" t="str">
        <f t="shared" si="4"/>
        <v/>
      </c>
      <c r="L35" s="29" t="str">
        <f t="shared" si="5"/>
        <v/>
      </c>
      <c r="M35" s="12" t="str">
        <f t="shared" si="6"/>
        <v/>
      </c>
      <c r="N35" s="12" t="str">
        <f t="shared" si="7"/>
        <v/>
      </c>
      <c r="O35" s="12" t="str">
        <f t="shared" si="8"/>
        <v/>
      </c>
    </row>
    <row r="36" spans="1:15" x14ac:dyDescent="0.3">
      <c r="A36" s="25">
        <f>Facturas!A31</f>
        <v>25</v>
      </c>
      <c r="B36" s="8" t="str">
        <f>IF(Facturas!B31="","",Facturas!B31)</f>
        <v/>
      </c>
      <c r="C36" s="26" t="str">
        <f>IF(Facturas!C31="","",Facturas!C31)</f>
        <v/>
      </c>
      <c r="D36" s="27" t="str">
        <f>IF(C36="","",IF(Facturas!G31="","No",Facturas!G31))</f>
        <v/>
      </c>
      <c r="E36" s="24" t="str">
        <f>IF(Facturas!F31="","",Facturas!F31)</f>
        <v/>
      </c>
      <c r="F36" s="21" t="str">
        <f>IF(OR(C36="",Facturas!D31=""),"",MAX(Facturas!D31,$D$8))</f>
        <v/>
      </c>
      <c r="G36" s="19" t="str">
        <f t="shared" si="0"/>
        <v/>
      </c>
      <c r="H36" s="28" t="str">
        <f t="shared" si="1"/>
        <v/>
      </c>
      <c r="I36" s="29" t="str">
        <f t="shared" si="2"/>
        <v/>
      </c>
      <c r="J36" s="29" t="str">
        <f t="shared" si="3"/>
        <v/>
      </c>
      <c r="K36" s="29" t="str">
        <f t="shared" si="4"/>
        <v/>
      </c>
      <c r="L36" s="29" t="str">
        <f t="shared" si="5"/>
        <v/>
      </c>
      <c r="M36" s="12" t="str">
        <f t="shared" si="6"/>
        <v/>
      </c>
      <c r="N36" s="12" t="str">
        <f t="shared" si="7"/>
        <v/>
      </c>
      <c r="O36" s="12" t="str">
        <f t="shared" si="8"/>
        <v/>
      </c>
    </row>
    <row r="37" spans="1:15" x14ac:dyDescent="0.3">
      <c r="A37" s="25">
        <f>Facturas!A32</f>
        <v>26</v>
      </c>
      <c r="B37" s="8" t="str">
        <f>IF(Facturas!B32="","",Facturas!B32)</f>
        <v/>
      </c>
      <c r="C37" s="26" t="str">
        <f>IF(Facturas!C32="","",Facturas!C32)</f>
        <v/>
      </c>
      <c r="D37" s="27" t="str">
        <f>IF(C37="","",IF(Facturas!G32="","No",Facturas!G32))</f>
        <v/>
      </c>
      <c r="E37" s="24" t="str">
        <f>IF(Facturas!F32="","",Facturas!F32)</f>
        <v/>
      </c>
      <c r="F37" s="21" t="str">
        <f>IF(OR(C37="",Facturas!D32=""),"",MAX(Facturas!D32,$D$8))</f>
        <v/>
      </c>
      <c r="G37" s="19" t="str">
        <f t="shared" si="0"/>
        <v/>
      </c>
      <c r="H37" s="28" t="str">
        <f t="shared" si="1"/>
        <v/>
      </c>
      <c r="I37" s="29" t="str">
        <f t="shared" si="2"/>
        <v/>
      </c>
      <c r="J37" s="29" t="str">
        <f t="shared" si="3"/>
        <v/>
      </c>
      <c r="K37" s="29" t="str">
        <f t="shared" si="4"/>
        <v/>
      </c>
      <c r="L37" s="29" t="str">
        <f t="shared" si="5"/>
        <v/>
      </c>
      <c r="M37" s="12" t="str">
        <f t="shared" si="6"/>
        <v/>
      </c>
      <c r="N37" s="12" t="str">
        <f t="shared" si="7"/>
        <v/>
      </c>
      <c r="O37" s="12" t="str">
        <f t="shared" si="8"/>
        <v/>
      </c>
    </row>
    <row r="38" spans="1:15" x14ac:dyDescent="0.3">
      <c r="A38" s="25">
        <f>Facturas!A33</f>
        <v>27</v>
      </c>
      <c r="B38" s="8" t="str">
        <f>IF(Facturas!B33="","",Facturas!B33)</f>
        <v/>
      </c>
      <c r="C38" s="26" t="str">
        <f>IF(Facturas!C33="","",Facturas!C33)</f>
        <v/>
      </c>
      <c r="D38" s="27" t="str">
        <f>IF(C38="","",IF(Facturas!G33="","No",Facturas!G33))</f>
        <v/>
      </c>
      <c r="E38" s="24" t="str">
        <f>IF(Facturas!F33="","",Facturas!F33)</f>
        <v/>
      </c>
      <c r="F38" s="21" t="str">
        <f>IF(OR(C38="",Facturas!D33=""),"",MAX(Facturas!D33,$D$8))</f>
        <v/>
      </c>
      <c r="G38" s="19" t="str">
        <f t="shared" si="0"/>
        <v/>
      </c>
      <c r="H38" s="28" t="str">
        <f t="shared" si="1"/>
        <v/>
      </c>
      <c r="I38" s="29" t="str">
        <f t="shared" si="2"/>
        <v/>
      </c>
      <c r="J38" s="29" t="str">
        <f t="shared" si="3"/>
        <v/>
      </c>
      <c r="K38" s="29" t="str">
        <f t="shared" si="4"/>
        <v/>
      </c>
      <c r="L38" s="29" t="str">
        <f t="shared" si="5"/>
        <v/>
      </c>
      <c r="M38" s="12" t="str">
        <f t="shared" si="6"/>
        <v/>
      </c>
      <c r="N38" s="12" t="str">
        <f t="shared" si="7"/>
        <v/>
      </c>
      <c r="O38" s="12" t="str">
        <f t="shared" si="8"/>
        <v/>
      </c>
    </row>
    <row r="39" spans="1:15" x14ac:dyDescent="0.3">
      <c r="A39" s="25">
        <f>Facturas!A34</f>
        <v>28</v>
      </c>
      <c r="B39" s="8" t="str">
        <f>IF(Facturas!B34="","",Facturas!B34)</f>
        <v/>
      </c>
      <c r="C39" s="26" t="str">
        <f>IF(Facturas!C34="","",Facturas!C34)</f>
        <v/>
      </c>
      <c r="D39" s="27" t="str">
        <f>IF(C39="","",IF(Facturas!G34="","No",Facturas!G34))</f>
        <v/>
      </c>
      <c r="E39" s="24" t="str">
        <f>IF(Facturas!F34="","",Facturas!F34)</f>
        <v/>
      </c>
      <c r="F39" s="21" t="str">
        <f>IF(OR(C39="",Facturas!D34=""),"",MAX(Facturas!D34,$D$8))</f>
        <v/>
      </c>
      <c r="G39" s="19" t="str">
        <f t="shared" si="0"/>
        <v/>
      </c>
      <c r="H39" s="28" t="str">
        <f t="shared" si="1"/>
        <v/>
      </c>
      <c r="I39" s="29" t="str">
        <f t="shared" si="2"/>
        <v/>
      </c>
      <c r="J39" s="29" t="str">
        <f t="shared" si="3"/>
        <v/>
      </c>
      <c r="K39" s="29" t="str">
        <f t="shared" si="4"/>
        <v/>
      </c>
      <c r="L39" s="29" t="str">
        <f t="shared" si="5"/>
        <v/>
      </c>
      <c r="M39" s="12" t="str">
        <f t="shared" si="6"/>
        <v/>
      </c>
      <c r="N39" s="12" t="str">
        <f t="shared" si="7"/>
        <v/>
      </c>
      <c r="O39" s="12" t="str">
        <f t="shared" si="8"/>
        <v/>
      </c>
    </row>
    <row r="40" spans="1:15" x14ac:dyDescent="0.3">
      <c r="A40" s="25">
        <f>Facturas!A35</f>
        <v>29</v>
      </c>
      <c r="B40" s="8" t="str">
        <f>IF(Facturas!B35="","",Facturas!B35)</f>
        <v/>
      </c>
      <c r="C40" s="26" t="str">
        <f>IF(Facturas!C35="","",Facturas!C35)</f>
        <v/>
      </c>
      <c r="D40" s="27" t="str">
        <f>IF(C40="","",IF(Facturas!G35="","No",Facturas!G35))</f>
        <v/>
      </c>
      <c r="E40" s="24" t="str">
        <f>IF(Facturas!F35="","",Facturas!F35)</f>
        <v/>
      </c>
      <c r="F40" s="21" t="str">
        <f>IF(OR(C40="",Facturas!D35=""),"",MAX(Facturas!D35,$D$8))</f>
        <v/>
      </c>
      <c r="G40" s="19" t="str">
        <f t="shared" si="0"/>
        <v/>
      </c>
      <c r="H40" s="28" t="str">
        <f t="shared" si="1"/>
        <v/>
      </c>
      <c r="I40" s="29" t="str">
        <f t="shared" si="2"/>
        <v/>
      </c>
      <c r="J40" s="29" t="str">
        <f t="shared" si="3"/>
        <v/>
      </c>
      <c r="K40" s="29" t="str">
        <f t="shared" si="4"/>
        <v/>
      </c>
      <c r="L40" s="29" t="str">
        <f t="shared" si="5"/>
        <v/>
      </c>
      <c r="M40" s="12" t="str">
        <f t="shared" si="6"/>
        <v/>
      </c>
      <c r="N40" s="12" t="str">
        <f t="shared" si="7"/>
        <v/>
      </c>
      <c r="O40" s="12" t="str">
        <f t="shared" si="8"/>
        <v/>
      </c>
    </row>
    <row r="41" spans="1:15" x14ac:dyDescent="0.3">
      <c r="A41" s="25">
        <f>Facturas!A36</f>
        <v>30</v>
      </c>
      <c r="B41" s="8" t="str">
        <f>IF(Facturas!B36="","",Facturas!B36)</f>
        <v/>
      </c>
      <c r="C41" s="26" t="str">
        <f>IF(Facturas!C36="","",Facturas!C36)</f>
        <v/>
      </c>
      <c r="D41" s="27" t="str">
        <f>IF(C41="","",IF(Facturas!G36="","No",Facturas!G36))</f>
        <v/>
      </c>
      <c r="E41" s="24" t="str">
        <f>IF(Facturas!F36="","",Facturas!F36)</f>
        <v/>
      </c>
      <c r="F41" s="21" t="str">
        <f>IF(OR(C41="",Facturas!D36=""),"",MAX(Facturas!D36,$D$8))</f>
        <v/>
      </c>
      <c r="G41" s="19" t="str">
        <f t="shared" si="0"/>
        <v/>
      </c>
      <c r="H41" s="28" t="str">
        <f t="shared" si="1"/>
        <v/>
      </c>
      <c r="I41" s="29" t="str">
        <f t="shared" si="2"/>
        <v/>
      </c>
      <c r="J41" s="29" t="str">
        <f t="shared" si="3"/>
        <v/>
      </c>
      <c r="K41" s="29" t="str">
        <f t="shared" si="4"/>
        <v/>
      </c>
      <c r="L41" s="29" t="str">
        <f t="shared" si="5"/>
        <v/>
      </c>
      <c r="M41" s="12" t="str">
        <f t="shared" si="6"/>
        <v/>
      </c>
      <c r="N41" s="12" t="str">
        <f t="shared" si="7"/>
        <v/>
      </c>
      <c r="O41" s="12" t="str">
        <f t="shared" si="8"/>
        <v/>
      </c>
    </row>
    <row r="42" spans="1:15" x14ac:dyDescent="0.3">
      <c r="B42" s="16" t="s">
        <v>70</v>
      </c>
      <c r="C42" s="17">
        <f>SUM(C12:C41)</f>
        <v>82000000</v>
      </c>
      <c r="I42" s="17">
        <f>SUM(I12:I41)</f>
        <v>39600000</v>
      </c>
      <c r="J42" s="17">
        <f>SUM(J12:J41)</f>
        <v>1424200</v>
      </c>
      <c r="K42" s="17">
        <f>SUM(K12:K41)</f>
        <v>38175800</v>
      </c>
      <c r="L42" s="17">
        <f>SUM(L12:L41)</f>
        <v>4400000</v>
      </c>
    </row>
    <row r="44" spans="1:15" x14ac:dyDescent="0.3">
      <c r="A44" s="3" t="s">
        <v>71</v>
      </c>
    </row>
  </sheetData>
  <dataValidations count="1">
    <dataValidation type="decimal" errorTitle="Porcentaje no válido" error="Escribe un porcentaje entre 0% y 100%" sqref="D4:D6" xr:uid="{00000000-0002-0000-0300-000000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44444"/>
  </sheetPr>
  <dimension ref="A1:H2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4.4" x14ac:dyDescent="0.3"/>
  <cols>
    <col min="1" max="1" width="52" customWidth="1"/>
    <col min="2" max="8" width="15" customWidth="1"/>
  </cols>
  <sheetData>
    <row r="1" spans="1:8" ht="21" x14ac:dyDescent="0.4">
      <c r="A1" s="2" t="s">
        <v>72</v>
      </c>
    </row>
    <row r="2" spans="1:8" x14ac:dyDescent="0.3">
      <c r="A2" s="3" t="s">
        <v>73</v>
      </c>
    </row>
    <row r="4" spans="1:8" x14ac:dyDescent="0.3">
      <c r="A4" s="13" t="s">
        <v>24</v>
      </c>
      <c r="B4" s="14">
        <f>Datos!C9</f>
        <v>46296</v>
      </c>
      <c r="C4" s="14">
        <f>Datos!D9</f>
        <v>46327</v>
      </c>
      <c r="D4" s="14">
        <f>Datos!E9</f>
        <v>46357</v>
      </c>
      <c r="E4" s="14">
        <f>Datos!F9</f>
        <v>46388</v>
      </c>
      <c r="F4" s="14">
        <f>Datos!G9</f>
        <v>46419</v>
      </c>
      <c r="G4" s="14">
        <f>Datos!H9</f>
        <v>46447</v>
      </c>
      <c r="H4" s="18" t="s">
        <v>74</v>
      </c>
    </row>
    <row r="5" spans="1:8" x14ac:dyDescent="0.3">
      <c r="A5" s="9" t="s">
        <v>75</v>
      </c>
      <c r="B5" s="30">
        <f>Datos!C5</f>
        <v>3000000</v>
      </c>
      <c r="C5" s="31">
        <f>B17</f>
        <v>-4000000</v>
      </c>
      <c r="D5" s="31">
        <f>C17</f>
        <v>-8000000</v>
      </c>
      <c r="E5" s="31">
        <f>D17</f>
        <v>-1000000</v>
      </c>
      <c r="F5" s="31">
        <f>E17</f>
        <v>8000000</v>
      </c>
      <c r="G5" s="31">
        <f>F17</f>
        <v>8000000</v>
      </c>
      <c r="H5" s="31">
        <f>B5</f>
        <v>3000000</v>
      </c>
    </row>
    <row r="6" spans="1:8" x14ac:dyDescent="0.3">
      <c r="A6" s="15" t="s">
        <v>76</v>
      </c>
      <c r="B6" s="31">
        <f>SUMIFS(Facturas!$C$7:$C$36,Facturas!$H$7:$H$36,B$4)</f>
        <v>6000000</v>
      </c>
      <c r="C6" s="31">
        <f>SUMIFS(Facturas!$C$7:$C$36,Facturas!$H$7:$H$36,C$4)</f>
        <v>9000000</v>
      </c>
      <c r="D6" s="31">
        <f>SUMIFS(Facturas!$C$7:$C$36,Facturas!$H$7:$H$36,D$4)</f>
        <v>20000000</v>
      </c>
      <c r="E6" s="31">
        <f>SUMIFS(Facturas!$C$7:$C$36,Facturas!$H$7:$H$36,E$4)</f>
        <v>22000000</v>
      </c>
      <c r="F6" s="31">
        <f>SUMIFS(Facturas!$C$7:$C$36,Facturas!$H$7:$H$36,F$4)</f>
        <v>13000000</v>
      </c>
      <c r="G6" s="31">
        <f>SUMIFS(Facturas!$C$7:$C$36,Facturas!$H$7:$H$36,G$4)</f>
        <v>12000000</v>
      </c>
      <c r="H6" s="31">
        <f t="shared" ref="H6:H16" si="0">SUM(B6:G6)</f>
        <v>82000000</v>
      </c>
    </row>
    <row r="7" spans="1:8" x14ac:dyDescent="0.3">
      <c r="A7" s="15" t="s">
        <v>77</v>
      </c>
      <c r="B7" s="30">
        <f>Datos!C10</f>
        <v>1500000</v>
      </c>
      <c r="C7" s="30">
        <f>Datos!D10</f>
        <v>1500000</v>
      </c>
      <c r="D7" s="30">
        <f>Datos!E10</f>
        <v>1500000</v>
      </c>
      <c r="E7" s="30">
        <f>Datos!F10</f>
        <v>1500000</v>
      </c>
      <c r="F7" s="30">
        <f>Datos!G10</f>
        <v>1500000</v>
      </c>
      <c r="G7" s="30">
        <f>Datos!H10</f>
        <v>1500000</v>
      </c>
      <c r="H7" s="31">
        <f t="shared" si="0"/>
        <v>9000000</v>
      </c>
    </row>
    <row r="8" spans="1:8" x14ac:dyDescent="0.3">
      <c r="A8" s="32" t="s">
        <v>78</v>
      </c>
      <c r="B8" s="33">
        <f t="shared" ref="B8:G8" si="1">B6+B7</f>
        <v>7500000</v>
      </c>
      <c r="C8" s="33">
        <f t="shared" si="1"/>
        <v>10500000</v>
      </c>
      <c r="D8" s="33">
        <f t="shared" si="1"/>
        <v>21500000</v>
      </c>
      <c r="E8" s="33">
        <f t="shared" si="1"/>
        <v>23500000</v>
      </c>
      <c r="F8" s="33">
        <f t="shared" si="1"/>
        <v>14500000</v>
      </c>
      <c r="G8" s="33">
        <f t="shared" si="1"/>
        <v>13500000</v>
      </c>
      <c r="H8" s="33">
        <f t="shared" si="0"/>
        <v>91000000</v>
      </c>
    </row>
    <row r="9" spans="1:8" x14ac:dyDescent="0.3">
      <c r="A9" s="15" t="s">
        <v>79</v>
      </c>
      <c r="B9" s="30">
        <f>Datos!C12</f>
        <v>6000000</v>
      </c>
      <c r="C9" s="30">
        <f>Datos!D12</f>
        <v>6000000</v>
      </c>
      <c r="D9" s="30">
        <f>Datos!E12</f>
        <v>6000000</v>
      </c>
      <c r="E9" s="30">
        <f>Datos!F12</f>
        <v>6000000</v>
      </c>
      <c r="F9" s="30">
        <f>Datos!G12</f>
        <v>6000000</v>
      </c>
      <c r="G9" s="30">
        <f>Datos!H12</f>
        <v>6000000</v>
      </c>
      <c r="H9" s="31">
        <f t="shared" si="0"/>
        <v>36000000</v>
      </c>
    </row>
    <row r="10" spans="1:8" x14ac:dyDescent="0.3">
      <c r="A10" s="15" t="s">
        <v>80</v>
      </c>
      <c r="B10" s="30">
        <f>Datos!C13</f>
        <v>5000000</v>
      </c>
      <c r="C10" s="30">
        <f>Datos!D13</f>
        <v>5000000</v>
      </c>
      <c r="D10" s="30">
        <f>Datos!E13</f>
        <v>5000000</v>
      </c>
      <c r="E10" s="30">
        <f>Datos!F13</f>
        <v>5000000</v>
      </c>
      <c r="F10" s="30">
        <f>Datos!G13</f>
        <v>5000000</v>
      </c>
      <c r="G10" s="30">
        <f>Datos!H13</f>
        <v>5000000</v>
      </c>
      <c r="H10" s="31">
        <f t="shared" si="0"/>
        <v>30000000</v>
      </c>
    </row>
    <row r="11" spans="1:8" x14ac:dyDescent="0.3">
      <c r="A11" s="15" t="s">
        <v>81</v>
      </c>
      <c r="B11" s="30">
        <f>Datos!C14</f>
        <v>1200000</v>
      </c>
      <c r="C11" s="30">
        <f>Datos!D14</f>
        <v>1200000</v>
      </c>
      <c r="D11" s="30">
        <f>Datos!E14</f>
        <v>1200000</v>
      </c>
      <c r="E11" s="30">
        <f>Datos!F14</f>
        <v>1200000</v>
      </c>
      <c r="F11" s="30">
        <f>Datos!G14</f>
        <v>1200000</v>
      </c>
      <c r="G11" s="30">
        <f>Datos!H14</f>
        <v>1200000</v>
      </c>
      <c r="H11" s="31">
        <f t="shared" si="0"/>
        <v>7200000</v>
      </c>
    </row>
    <row r="12" spans="1:8" x14ac:dyDescent="0.3">
      <c r="A12" s="15" t="s">
        <v>82</v>
      </c>
      <c r="B12" s="30">
        <f>Datos!C15</f>
        <v>1300000</v>
      </c>
      <c r="C12" s="30">
        <f>Datos!D15</f>
        <v>1300000</v>
      </c>
      <c r="D12" s="30">
        <f>Datos!E15</f>
        <v>1300000</v>
      </c>
      <c r="E12" s="30">
        <f>Datos!F15</f>
        <v>1300000</v>
      </c>
      <c r="F12" s="30">
        <f>Datos!G15</f>
        <v>1300000</v>
      </c>
      <c r="G12" s="30">
        <f>Datos!H15</f>
        <v>1300000</v>
      </c>
      <c r="H12" s="31">
        <f t="shared" si="0"/>
        <v>7800000</v>
      </c>
    </row>
    <row r="13" spans="1:8" x14ac:dyDescent="0.3">
      <c r="A13" s="15" t="s">
        <v>83</v>
      </c>
      <c r="B13" s="30">
        <f>Datos!C16</f>
        <v>700000</v>
      </c>
      <c r="C13" s="30">
        <f>Datos!D16</f>
        <v>700000</v>
      </c>
      <c r="D13" s="30">
        <f>Datos!E16</f>
        <v>700000</v>
      </c>
      <c r="E13" s="30">
        <f>Datos!F16</f>
        <v>700000</v>
      </c>
      <c r="F13" s="30">
        <f>Datos!G16</f>
        <v>700000</v>
      </c>
      <c r="G13" s="30">
        <f>Datos!H16</f>
        <v>700000</v>
      </c>
      <c r="H13" s="31">
        <f t="shared" si="0"/>
        <v>4200000</v>
      </c>
    </row>
    <row r="14" spans="1:8" x14ac:dyDescent="0.3">
      <c r="A14" s="15" t="s">
        <v>84</v>
      </c>
      <c r="B14" s="30">
        <f>Datos!C17</f>
        <v>300000</v>
      </c>
      <c r="C14" s="30">
        <f>Datos!D17</f>
        <v>300000</v>
      </c>
      <c r="D14" s="30">
        <f>Datos!E17</f>
        <v>300000</v>
      </c>
      <c r="E14" s="30">
        <f>Datos!F17</f>
        <v>300000</v>
      </c>
      <c r="F14" s="30">
        <f>Datos!G17</f>
        <v>300000</v>
      </c>
      <c r="G14" s="30">
        <f>Datos!H17</f>
        <v>300000</v>
      </c>
      <c r="H14" s="31">
        <f t="shared" si="0"/>
        <v>1800000</v>
      </c>
    </row>
    <row r="15" spans="1:8" x14ac:dyDescent="0.3">
      <c r="A15" s="32" t="s">
        <v>33</v>
      </c>
      <c r="B15" s="33">
        <f t="shared" ref="B15:G15" si="2">SUM(B9:B14)</f>
        <v>14500000</v>
      </c>
      <c r="C15" s="33">
        <f t="shared" si="2"/>
        <v>14500000</v>
      </c>
      <c r="D15" s="33">
        <f t="shared" si="2"/>
        <v>14500000</v>
      </c>
      <c r="E15" s="33">
        <f t="shared" si="2"/>
        <v>14500000</v>
      </c>
      <c r="F15" s="33">
        <f t="shared" si="2"/>
        <v>14500000</v>
      </c>
      <c r="G15" s="33">
        <f t="shared" si="2"/>
        <v>14500000</v>
      </c>
      <c r="H15" s="33">
        <f t="shared" si="0"/>
        <v>87000000</v>
      </c>
    </row>
    <row r="16" spans="1:8" x14ac:dyDescent="0.3">
      <c r="A16" s="9" t="s">
        <v>85</v>
      </c>
      <c r="B16" s="34">
        <f t="shared" ref="B16:G16" si="3">B8-B15</f>
        <v>-7000000</v>
      </c>
      <c r="C16" s="34">
        <f t="shared" si="3"/>
        <v>-4000000</v>
      </c>
      <c r="D16" s="34">
        <f t="shared" si="3"/>
        <v>7000000</v>
      </c>
      <c r="E16" s="34">
        <f t="shared" si="3"/>
        <v>9000000</v>
      </c>
      <c r="F16" s="34">
        <f t="shared" si="3"/>
        <v>0</v>
      </c>
      <c r="G16" s="34">
        <f t="shared" si="3"/>
        <v>-1000000</v>
      </c>
      <c r="H16" s="34">
        <f t="shared" si="0"/>
        <v>4000000</v>
      </c>
    </row>
    <row r="17" spans="1:8" x14ac:dyDescent="0.3">
      <c r="A17" s="32" t="s">
        <v>86</v>
      </c>
      <c r="B17" s="33">
        <f t="shared" ref="B17:G17" si="4">B5+B16</f>
        <v>-4000000</v>
      </c>
      <c r="C17" s="33">
        <f t="shared" si="4"/>
        <v>-8000000</v>
      </c>
      <c r="D17" s="33">
        <f t="shared" si="4"/>
        <v>-1000000</v>
      </c>
      <c r="E17" s="33">
        <f t="shared" si="4"/>
        <v>8000000</v>
      </c>
      <c r="F17" s="33">
        <f t="shared" si="4"/>
        <v>8000000</v>
      </c>
      <c r="G17" s="33">
        <f t="shared" si="4"/>
        <v>7000000</v>
      </c>
      <c r="H17" s="33">
        <f>G17</f>
        <v>7000000</v>
      </c>
    </row>
    <row r="18" spans="1:8" x14ac:dyDescent="0.3">
      <c r="A18" s="9" t="s">
        <v>87</v>
      </c>
      <c r="B18" s="35" t="str">
        <f t="shared" ref="B18:G18" si="5">IF(B17&lt;0,"SIN CAJA","OK")</f>
        <v>SIN CAJA</v>
      </c>
      <c r="C18" s="35" t="str">
        <f t="shared" si="5"/>
        <v>SIN CAJA</v>
      </c>
      <c r="D18" s="35" t="str">
        <f t="shared" si="5"/>
        <v>SIN CAJA</v>
      </c>
      <c r="E18" s="35" t="str">
        <f t="shared" si="5"/>
        <v>OK</v>
      </c>
      <c r="F18" s="35" t="str">
        <f t="shared" si="5"/>
        <v>OK</v>
      </c>
      <c r="G18" s="35" t="str">
        <f t="shared" si="5"/>
        <v>OK</v>
      </c>
    </row>
    <row r="20" spans="1:8" x14ac:dyDescent="0.3">
      <c r="A20" s="3" t="s">
        <v>88</v>
      </c>
    </row>
  </sheetData>
  <conditionalFormatting sqref="B18:G18">
    <cfRule type="cellIs" dxfId="5" priority="2" operator="equal">
      <formula>"SIN CAJA"</formula>
    </cfRule>
    <cfRule type="cellIs" dxfId="4" priority="3" operator="equal">
      <formula>"OK"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44444"/>
  </sheetPr>
  <dimension ref="A1:H2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4.4" x14ac:dyDescent="0.3"/>
  <cols>
    <col min="1" max="1" width="52" customWidth="1"/>
    <col min="2" max="8" width="15" customWidth="1"/>
  </cols>
  <sheetData>
    <row r="1" spans="1:8" ht="21" x14ac:dyDescent="0.4">
      <c r="A1" s="2" t="s">
        <v>89</v>
      </c>
    </row>
    <row r="2" spans="1:8" x14ac:dyDescent="0.3">
      <c r="A2" s="3" t="s">
        <v>90</v>
      </c>
    </row>
    <row r="4" spans="1:8" x14ac:dyDescent="0.3">
      <c r="A4" s="13" t="s">
        <v>24</v>
      </c>
      <c r="B4" s="14">
        <f>Datos!C9</f>
        <v>46296</v>
      </c>
      <c r="C4" s="14">
        <f>Datos!D9</f>
        <v>46327</v>
      </c>
      <c r="D4" s="14">
        <f>Datos!E9</f>
        <v>46357</v>
      </c>
      <c r="E4" s="14">
        <f>Datos!F9</f>
        <v>46388</v>
      </c>
      <c r="F4" s="14">
        <f>Datos!G9</f>
        <v>46419</v>
      </c>
      <c r="G4" s="14">
        <f>Datos!H9</f>
        <v>46447</v>
      </c>
      <c r="H4" s="18" t="s">
        <v>74</v>
      </c>
    </row>
    <row r="5" spans="1:8" x14ac:dyDescent="0.3">
      <c r="A5" s="9" t="s">
        <v>75</v>
      </c>
      <c r="B5" s="30">
        <f>Datos!C5</f>
        <v>3000000</v>
      </c>
      <c r="C5" s="31">
        <f>B19</f>
        <v>34175800</v>
      </c>
      <c r="D5" s="31">
        <f>C19</f>
        <v>22075800</v>
      </c>
      <c r="E5" s="31">
        <f>D19</f>
        <v>11075800</v>
      </c>
      <c r="F5" s="31">
        <f>E19</f>
        <v>6575800</v>
      </c>
      <c r="G5" s="31">
        <f>F19</f>
        <v>6575800</v>
      </c>
      <c r="H5" s="31">
        <f>B5</f>
        <v>3000000</v>
      </c>
    </row>
    <row r="6" spans="1:8" x14ac:dyDescent="0.3">
      <c r="A6" s="15" t="s">
        <v>91</v>
      </c>
      <c r="B6" s="31">
        <f>SUMIFS(Factoring!$C$12:$C$41,Factoring!$O$12:$O$41,B$4,Factoring!$G$12:$G$41,0)</f>
        <v>6000000</v>
      </c>
      <c r="C6" s="31">
        <f>SUMIFS(Factoring!$C$12:$C$41,Factoring!$O$12:$O$41,C$4,Factoring!$G$12:$G$41,0)</f>
        <v>0</v>
      </c>
      <c r="D6" s="31">
        <f>SUMIFS(Factoring!$C$12:$C$41,Factoring!$O$12:$O$41,D$4,Factoring!$G$12:$G$41,0)</f>
        <v>0</v>
      </c>
      <c r="E6" s="31">
        <f>SUMIFS(Factoring!$C$12:$C$41,Factoring!$O$12:$O$41,E$4,Factoring!$G$12:$G$41,0)</f>
        <v>7000000</v>
      </c>
      <c r="F6" s="31">
        <f>SUMIFS(Factoring!$C$12:$C$41,Factoring!$O$12:$O$41,F$4,Factoring!$G$12:$G$41,0)</f>
        <v>13000000</v>
      </c>
      <c r="G6" s="31">
        <f>SUMIFS(Factoring!$C$12:$C$41,Factoring!$O$12:$O$41,G$4,Factoring!$G$12:$G$41,0)</f>
        <v>12000000</v>
      </c>
      <c r="H6" s="31">
        <f t="shared" ref="H6:H18" si="0">SUM(B6:G6)</f>
        <v>38000000</v>
      </c>
    </row>
    <row r="7" spans="1:8" x14ac:dyDescent="0.3">
      <c r="A7" s="15" t="s">
        <v>92</v>
      </c>
      <c r="B7" s="31">
        <f>SUMIFS(Factoring!$K$12:$K$41,Factoring!$M$12:$M$41,B$4)</f>
        <v>38175800</v>
      </c>
      <c r="C7" s="31">
        <f>SUMIFS(Factoring!$K$12:$K$41,Factoring!$M$12:$M$41,C$4)</f>
        <v>0</v>
      </c>
      <c r="D7" s="31">
        <f>SUMIFS(Factoring!$K$12:$K$41,Factoring!$M$12:$M$41,D$4)</f>
        <v>0</v>
      </c>
      <c r="E7" s="31">
        <f>SUMIFS(Factoring!$K$12:$K$41,Factoring!$M$12:$M$41,E$4)</f>
        <v>0</v>
      </c>
      <c r="F7" s="31">
        <f>SUMIFS(Factoring!$K$12:$K$41,Factoring!$M$12:$M$41,F$4)</f>
        <v>0</v>
      </c>
      <c r="G7" s="31">
        <f>SUMIFS(Factoring!$K$12:$K$41,Factoring!$M$12:$M$41,G$4)</f>
        <v>0</v>
      </c>
      <c r="H7" s="31">
        <f t="shared" si="0"/>
        <v>38175800</v>
      </c>
    </row>
    <row r="8" spans="1:8" x14ac:dyDescent="0.3">
      <c r="A8" s="15" t="s">
        <v>93</v>
      </c>
      <c r="B8" s="31">
        <f>SUMIFS(Factoring!$L$12:$L$41,Factoring!$N$12:$N$41,B$4)</f>
        <v>0</v>
      </c>
      <c r="C8" s="31">
        <f>SUMIFS(Factoring!$L$12:$L$41,Factoring!$N$12:$N$41,C$4)</f>
        <v>900000</v>
      </c>
      <c r="D8" s="31">
        <f>SUMIFS(Factoring!$L$12:$L$41,Factoring!$N$12:$N$41,D$4)</f>
        <v>2000000</v>
      </c>
      <c r="E8" s="31">
        <f>SUMIFS(Factoring!$L$12:$L$41,Factoring!$N$12:$N$41,E$4)</f>
        <v>1500000</v>
      </c>
      <c r="F8" s="31">
        <f>SUMIFS(Factoring!$L$12:$L$41,Factoring!$N$12:$N$41,F$4)</f>
        <v>0</v>
      </c>
      <c r="G8" s="31">
        <f>SUMIFS(Factoring!$L$12:$L$41,Factoring!$N$12:$N$41,G$4)</f>
        <v>0</v>
      </c>
      <c r="H8" s="31">
        <f t="shared" si="0"/>
        <v>4400000</v>
      </c>
    </row>
    <row r="9" spans="1:8" x14ac:dyDescent="0.3">
      <c r="A9" s="15" t="s">
        <v>77</v>
      </c>
      <c r="B9" s="30">
        <f>Datos!C10</f>
        <v>1500000</v>
      </c>
      <c r="C9" s="30">
        <f>Datos!D10</f>
        <v>1500000</v>
      </c>
      <c r="D9" s="30">
        <f>Datos!E10</f>
        <v>1500000</v>
      </c>
      <c r="E9" s="30">
        <f>Datos!F10</f>
        <v>1500000</v>
      </c>
      <c r="F9" s="30">
        <f>Datos!G10</f>
        <v>1500000</v>
      </c>
      <c r="G9" s="30">
        <f>Datos!H10</f>
        <v>1500000</v>
      </c>
      <c r="H9" s="31">
        <f t="shared" si="0"/>
        <v>9000000</v>
      </c>
    </row>
    <row r="10" spans="1:8" x14ac:dyDescent="0.3">
      <c r="A10" s="32" t="s">
        <v>78</v>
      </c>
      <c r="B10" s="33">
        <f t="shared" ref="B10:G10" si="1">SUM(B6:B9)</f>
        <v>45675800</v>
      </c>
      <c r="C10" s="33">
        <f t="shared" si="1"/>
        <v>2400000</v>
      </c>
      <c r="D10" s="33">
        <f t="shared" si="1"/>
        <v>3500000</v>
      </c>
      <c r="E10" s="33">
        <f t="shared" si="1"/>
        <v>10000000</v>
      </c>
      <c r="F10" s="33">
        <f t="shared" si="1"/>
        <v>14500000</v>
      </c>
      <c r="G10" s="33">
        <f t="shared" si="1"/>
        <v>13500000</v>
      </c>
      <c r="H10" s="33">
        <f t="shared" si="0"/>
        <v>89575800</v>
      </c>
    </row>
    <row r="11" spans="1:8" x14ac:dyDescent="0.3">
      <c r="A11" s="15" t="s">
        <v>79</v>
      </c>
      <c r="B11" s="30">
        <f>Datos!C12</f>
        <v>6000000</v>
      </c>
      <c r="C11" s="30">
        <f>Datos!D12</f>
        <v>6000000</v>
      </c>
      <c r="D11" s="30">
        <f>Datos!E12</f>
        <v>6000000</v>
      </c>
      <c r="E11" s="30">
        <f>Datos!F12</f>
        <v>6000000</v>
      </c>
      <c r="F11" s="30">
        <f>Datos!G12</f>
        <v>6000000</v>
      </c>
      <c r="G11" s="30">
        <f>Datos!H12</f>
        <v>6000000</v>
      </c>
      <c r="H11" s="31">
        <f t="shared" si="0"/>
        <v>36000000</v>
      </c>
    </row>
    <row r="12" spans="1:8" x14ac:dyDescent="0.3">
      <c r="A12" s="15" t="s">
        <v>80</v>
      </c>
      <c r="B12" s="30">
        <f>Datos!C13</f>
        <v>5000000</v>
      </c>
      <c r="C12" s="30">
        <f>Datos!D13</f>
        <v>5000000</v>
      </c>
      <c r="D12" s="30">
        <f>Datos!E13</f>
        <v>5000000</v>
      </c>
      <c r="E12" s="30">
        <f>Datos!F13</f>
        <v>5000000</v>
      </c>
      <c r="F12" s="30">
        <f>Datos!G13</f>
        <v>5000000</v>
      </c>
      <c r="G12" s="30">
        <f>Datos!H13</f>
        <v>5000000</v>
      </c>
      <c r="H12" s="31">
        <f t="shared" si="0"/>
        <v>30000000</v>
      </c>
    </row>
    <row r="13" spans="1:8" x14ac:dyDescent="0.3">
      <c r="A13" s="15" t="s">
        <v>81</v>
      </c>
      <c r="B13" s="30">
        <f>Datos!C14</f>
        <v>1200000</v>
      </c>
      <c r="C13" s="30">
        <f>Datos!D14</f>
        <v>1200000</v>
      </c>
      <c r="D13" s="30">
        <f>Datos!E14</f>
        <v>1200000</v>
      </c>
      <c r="E13" s="30">
        <f>Datos!F14</f>
        <v>1200000</v>
      </c>
      <c r="F13" s="30">
        <f>Datos!G14</f>
        <v>1200000</v>
      </c>
      <c r="G13" s="30">
        <f>Datos!H14</f>
        <v>1200000</v>
      </c>
      <c r="H13" s="31">
        <f t="shared" si="0"/>
        <v>7200000</v>
      </c>
    </row>
    <row r="14" spans="1:8" x14ac:dyDescent="0.3">
      <c r="A14" s="15" t="s">
        <v>82</v>
      </c>
      <c r="B14" s="30">
        <f>Datos!C15</f>
        <v>1300000</v>
      </c>
      <c r="C14" s="30">
        <f>Datos!D15</f>
        <v>1300000</v>
      </c>
      <c r="D14" s="30">
        <f>Datos!E15</f>
        <v>1300000</v>
      </c>
      <c r="E14" s="30">
        <f>Datos!F15</f>
        <v>1300000</v>
      </c>
      <c r="F14" s="30">
        <f>Datos!G15</f>
        <v>1300000</v>
      </c>
      <c r="G14" s="30">
        <f>Datos!H15</f>
        <v>1300000</v>
      </c>
      <c r="H14" s="31">
        <f t="shared" si="0"/>
        <v>7800000</v>
      </c>
    </row>
    <row r="15" spans="1:8" x14ac:dyDescent="0.3">
      <c r="A15" s="15" t="s">
        <v>83</v>
      </c>
      <c r="B15" s="30">
        <f>Datos!C16</f>
        <v>700000</v>
      </c>
      <c r="C15" s="30">
        <f>Datos!D16</f>
        <v>700000</v>
      </c>
      <c r="D15" s="30">
        <f>Datos!E16</f>
        <v>700000</v>
      </c>
      <c r="E15" s="30">
        <f>Datos!F16</f>
        <v>700000</v>
      </c>
      <c r="F15" s="30">
        <f>Datos!G16</f>
        <v>700000</v>
      </c>
      <c r="G15" s="30">
        <f>Datos!H16</f>
        <v>700000</v>
      </c>
      <c r="H15" s="31">
        <f t="shared" si="0"/>
        <v>4200000</v>
      </c>
    </row>
    <row r="16" spans="1:8" x14ac:dyDescent="0.3">
      <c r="A16" s="15" t="s">
        <v>84</v>
      </c>
      <c r="B16" s="30">
        <f>Datos!C17</f>
        <v>300000</v>
      </c>
      <c r="C16" s="30">
        <f>Datos!D17</f>
        <v>300000</v>
      </c>
      <c r="D16" s="30">
        <f>Datos!E17</f>
        <v>300000</v>
      </c>
      <c r="E16" s="30">
        <f>Datos!F17</f>
        <v>300000</v>
      </c>
      <c r="F16" s="30">
        <f>Datos!G17</f>
        <v>300000</v>
      </c>
      <c r="G16" s="30">
        <f>Datos!H17</f>
        <v>300000</v>
      </c>
      <c r="H16" s="31">
        <f t="shared" si="0"/>
        <v>1800000</v>
      </c>
    </row>
    <row r="17" spans="1:8" x14ac:dyDescent="0.3">
      <c r="A17" s="32" t="s">
        <v>33</v>
      </c>
      <c r="B17" s="33">
        <f t="shared" ref="B17:G17" si="2">SUM(B11:B16)</f>
        <v>14500000</v>
      </c>
      <c r="C17" s="33">
        <f t="shared" si="2"/>
        <v>14500000</v>
      </c>
      <c r="D17" s="33">
        <f t="shared" si="2"/>
        <v>14500000</v>
      </c>
      <c r="E17" s="33">
        <f t="shared" si="2"/>
        <v>14500000</v>
      </c>
      <c r="F17" s="33">
        <f t="shared" si="2"/>
        <v>14500000</v>
      </c>
      <c r="G17" s="33">
        <f t="shared" si="2"/>
        <v>14500000</v>
      </c>
      <c r="H17" s="33">
        <f t="shared" si="0"/>
        <v>87000000</v>
      </c>
    </row>
    <row r="18" spans="1:8" x14ac:dyDescent="0.3">
      <c r="A18" s="9" t="s">
        <v>85</v>
      </c>
      <c r="B18" s="34">
        <f t="shared" ref="B18:G18" si="3">B10-B17</f>
        <v>31175800</v>
      </c>
      <c r="C18" s="34">
        <f t="shared" si="3"/>
        <v>-12100000</v>
      </c>
      <c r="D18" s="34">
        <f t="shared" si="3"/>
        <v>-11000000</v>
      </c>
      <c r="E18" s="34">
        <f t="shared" si="3"/>
        <v>-4500000</v>
      </c>
      <c r="F18" s="34">
        <f t="shared" si="3"/>
        <v>0</v>
      </c>
      <c r="G18" s="34">
        <f t="shared" si="3"/>
        <v>-1000000</v>
      </c>
      <c r="H18" s="34">
        <f t="shared" si="0"/>
        <v>2575800</v>
      </c>
    </row>
    <row r="19" spans="1:8" x14ac:dyDescent="0.3">
      <c r="A19" s="32" t="s">
        <v>86</v>
      </c>
      <c r="B19" s="33">
        <f t="shared" ref="B19:G19" si="4">B5+B18</f>
        <v>34175800</v>
      </c>
      <c r="C19" s="33">
        <f t="shared" si="4"/>
        <v>22075800</v>
      </c>
      <c r="D19" s="33">
        <f t="shared" si="4"/>
        <v>11075800</v>
      </c>
      <c r="E19" s="33">
        <f t="shared" si="4"/>
        <v>6575800</v>
      </c>
      <c r="F19" s="33">
        <f t="shared" si="4"/>
        <v>6575800</v>
      </c>
      <c r="G19" s="33">
        <f t="shared" si="4"/>
        <v>5575800</v>
      </c>
      <c r="H19" s="33">
        <f>G19</f>
        <v>5575800</v>
      </c>
    </row>
    <row r="20" spans="1:8" x14ac:dyDescent="0.3">
      <c r="A20" s="9" t="s">
        <v>87</v>
      </c>
      <c r="B20" s="35" t="str">
        <f t="shared" ref="B20:G20" si="5">IF(B19&lt;0,"SIN CAJA","OK")</f>
        <v>OK</v>
      </c>
      <c r="C20" s="35" t="str">
        <f t="shared" si="5"/>
        <v>OK</v>
      </c>
      <c r="D20" s="35" t="str">
        <f t="shared" si="5"/>
        <v>OK</v>
      </c>
      <c r="E20" s="35" t="str">
        <f t="shared" si="5"/>
        <v>OK</v>
      </c>
      <c r="F20" s="35" t="str">
        <f t="shared" si="5"/>
        <v>OK</v>
      </c>
      <c r="G20" s="35" t="str">
        <f t="shared" si="5"/>
        <v>OK</v>
      </c>
    </row>
    <row r="22" spans="1:8" x14ac:dyDescent="0.3">
      <c r="A22" s="3" t="s">
        <v>94</v>
      </c>
    </row>
  </sheetData>
  <conditionalFormatting sqref="B20:G20">
    <cfRule type="cellIs" dxfId="3" priority="2" operator="equal">
      <formula>"SIN CAJA"</formula>
    </cfRule>
    <cfRule type="cellIs" dxfId="2" priority="3" operator="equal">
      <formula>"OK"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BCE02"/>
  </sheetPr>
  <dimension ref="A1:F53"/>
  <sheetViews>
    <sheetView showGridLines="0" tabSelected="1" zoomScaleNormal="100" workbookViewId="0"/>
  </sheetViews>
  <sheetFormatPr baseColWidth="10" defaultColWidth="8.6640625" defaultRowHeight="14.4" x14ac:dyDescent="0.3"/>
  <cols>
    <col min="1" max="1" width="46" customWidth="1"/>
    <col min="2" max="4" width="22" customWidth="1"/>
    <col min="5" max="6" width="18" customWidth="1"/>
  </cols>
  <sheetData>
    <row r="1" spans="1:6" ht="21" x14ac:dyDescent="0.4">
      <c r="A1" s="2" t="s">
        <v>95</v>
      </c>
    </row>
    <row r="2" spans="1:6" x14ac:dyDescent="0.3">
      <c r="A2" s="3" t="s">
        <v>96</v>
      </c>
    </row>
    <row r="3" spans="1:6" ht="31.5" customHeight="1" x14ac:dyDescent="0.3">
      <c r="A3" s="18" t="s">
        <v>97</v>
      </c>
      <c r="B3" s="18" t="s">
        <v>98</v>
      </c>
      <c r="C3" s="18" t="s">
        <v>99</v>
      </c>
      <c r="D3" s="18" t="s">
        <v>100</v>
      </c>
      <c r="E3" s="18" t="s">
        <v>101</v>
      </c>
      <c r="F3" s="18" t="s">
        <v>102</v>
      </c>
    </row>
    <row r="4" spans="1:6" x14ac:dyDescent="0.3">
      <c r="A4" s="36">
        <f>'Flujo sin factoring'!B4</f>
        <v>46296</v>
      </c>
      <c r="B4" s="30">
        <f>'Flujo sin factoring'!B17</f>
        <v>-4000000</v>
      </c>
      <c r="C4" s="30">
        <f>'Flujo con factoring'!B19</f>
        <v>34175800</v>
      </c>
      <c r="D4" s="31">
        <f t="shared" ref="D4:D9" si="0">C4-B4</f>
        <v>38175800</v>
      </c>
      <c r="E4" s="37" t="str">
        <f>'Flujo sin factoring'!B18</f>
        <v>SIN CAJA</v>
      </c>
      <c r="F4" s="37" t="str">
        <f>'Flujo con factoring'!B20</f>
        <v>OK</v>
      </c>
    </row>
    <row r="5" spans="1:6" x14ac:dyDescent="0.3">
      <c r="A5" s="36">
        <f>'Flujo sin factoring'!C4</f>
        <v>46327</v>
      </c>
      <c r="B5" s="30">
        <f>'Flujo sin factoring'!C17</f>
        <v>-8000000</v>
      </c>
      <c r="C5" s="30">
        <f>'Flujo con factoring'!C19</f>
        <v>22075800</v>
      </c>
      <c r="D5" s="31">
        <f t="shared" si="0"/>
        <v>30075800</v>
      </c>
      <c r="E5" s="37" t="str">
        <f>'Flujo sin factoring'!C18</f>
        <v>SIN CAJA</v>
      </c>
      <c r="F5" s="37" t="str">
        <f>'Flujo con factoring'!C20</f>
        <v>OK</v>
      </c>
    </row>
    <row r="6" spans="1:6" x14ac:dyDescent="0.3">
      <c r="A6" s="36">
        <f>'Flujo sin factoring'!D4</f>
        <v>46357</v>
      </c>
      <c r="B6" s="30">
        <f>'Flujo sin factoring'!D17</f>
        <v>-1000000</v>
      </c>
      <c r="C6" s="30">
        <f>'Flujo con factoring'!D19</f>
        <v>11075800</v>
      </c>
      <c r="D6" s="31">
        <f t="shared" si="0"/>
        <v>12075800</v>
      </c>
      <c r="E6" s="37" t="str">
        <f>'Flujo sin factoring'!D18</f>
        <v>SIN CAJA</v>
      </c>
      <c r="F6" s="37" t="str">
        <f>'Flujo con factoring'!D20</f>
        <v>OK</v>
      </c>
    </row>
    <row r="7" spans="1:6" x14ac:dyDescent="0.3">
      <c r="A7" s="36">
        <f>'Flujo sin factoring'!E4</f>
        <v>46388</v>
      </c>
      <c r="B7" s="30">
        <f>'Flujo sin factoring'!E17</f>
        <v>8000000</v>
      </c>
      <c r="C7" s="30">
        <f>'Flujo con factoring'!E19</f>
        <v>6575800</v>
      </c>
      <c r="D7" s="31">
        <f t="shared" si="0"/>
        <v>-1424200</v>
      </c>
      <c r="E7" s="37" t="str">
        <f>'Flujo sin factoring'!E18</f>
        <v>OK</v>
      </c>
      <c r="F7" s="37" t="str">
        <f>'Flujo con factoring'!E20</f>
        <v>OK</v>
      </c>
    </row>
    <row r="8" spans="1:6" x14ac:dyDescent="0.3">
      <c r="A8" s="36">
        <f>'Flujo sin factoring'!F4</f>
        <v>46419</v>
      </c>
      <c r="B8" s="30">
        <f>'Flujo sin factoring'!F17</f>
        <v>8000000</v>
      </c>
      <c r="C8" s="30">
        <f>'Flujo con factoring'!F19</f>
        <v>6575800</v>
      </c>
      <c r="D8" s="31">
        <f t="shared" si="0"/>
        <v>-1424200</v>
      </c>
      <c r="E8" s="37" t="str">
        <f>'Flujo sin factoring'!F18</f>
        <v>OK</v>
      </c>
      <c r="F8" s="37" t="str">
        <f>'Flujo con factoring'!F20</f>
        <v>OK</v>
      </c>
    </row>
    <row r="9" spans="1:6" x14ac:dyDescent="0.3">
      <c r="A9" s="36">
        <f>'Flujo sin factoring'!G4</f>
        <v>46447</v>
      </c>
      <c r="B9" s="30">
        <f>'Flujo sin factoring'!G17</f>
        <v>7000000</v>
      </c>
      <c r="C9" s="30">
        <f>'Flujo con factoring'!G19</f>
        <v>5575800</v>
      </c>
      <c r="D9" s="31">
        <f t="shared" si="0"/>
        <v>-1424200</v>
      </c>
      <c r="E9" s="37" t="str">
        <f>'Flujo sin factoring'!G18</f>
        <v>OK</v>
      </c>
      <c r="F9" s="37" t="str">
        <f>'Flujo con factoring'!G20</f>
        <v>OK</v>
      </c>
    </row>
    <row r="11" spans="1:6" x14ac:dyDescent="0.3">
      <c r="A11" s="4" t="s">
        <v>103</v>
      </c>
    </row>
    <row r="12" spans="1:6" x14ac:dyDescent="0.3">
      <c r="A12" s="7" t="s">
        <v>104</v>
      </c>
      <c r="B12" s="29">
        <f>MIN(B4:B9)</f>
        <v>-8000000</v>
      </c>
    </row>
    <row r="13" spans="1:6" x14ac:dyDescent="0.3">
      <c r="A13" s="7" t="s">
        <v>105</v>
      </c>
      <c r="B13" s="29">
        <f>MIN(C4:C9)</f>
        <v>5575800</v>
      </c>
    </row>
    <row r="14" spans="1:6" x14ac:dyDescent="0.3">
      <c r="A14" s="38" t="s">
        <v>106</v>
      </c>
      <c r="B14" s="39">
        <f>B13-B12</f>
        <v>13575800</v>
      </c>
    </row>
    <row r="15" spans="1:6" x14ac:dyDescent="0.3">
      <c r="A15" s="7" t="s">
        <v>107</v>
      </c>
      <c r="B15" s="28">
        <f>COUNTIF(B4:B9,"&lt;0")</f>
        <v>3</v>
      </c>
    </row>
    <row r="16" spans="1:6" x14ac:dyDescent="0.3">
      <c r="A16" s="7" t="s">
        <v>108</v>
      </c>
      <c r="B16" s="28">
        <f>COUNTIF(C4:C9,"&lt;0")</f>
        <v>0</v>
      </c>
    </row>
    <row r="17" spans="1:2" x14ac:dyDescent="0.3">
      <c r="A17" s="7" t="s">
        <v>109</v>
      </c>
      <c r="B17" s="26">
        <f>Factoring!I42</f>
        <v>39600000</v>
      </c>
    </row>
    <row r="18" spans="1:2" x14ac:dyDescent="0.3">
      <c r="A18" s="38" t="s">
        <v>110</v>
      </c>
      <c r="B18" s="26">
        <f>Factoring!J42</f>
        <v>1424200</v>
      </c>
    </row>
    <row r="19" spans="1:2" x14ac:dyDescent="0.3">
      <c r="A19" s="7" t="s">
        <v>111</v>
      </c>
      <c r="B19" s="29">
        <f>C9-B9</f>
        <v>-1424200</v>
      </c>
    </row>
    <row r="21" spans="1:2" x14ac:dyDescent="0.3">
      <c r="A21" s="9" t="str">
        <f>IF(B14&gt;0,"Con factoring, tu saldo mínimo mejora.",IF(B14=0,"En este escenario el factoring no cambia tu saldo mínimo.","En este escenario el factoring no mejora tu saldo mínimo."))</f>
        <v>Con factoring, tu saldo mínimo mejora.</v>
      </c>
    </row>
    <row r="22" spans="1:2" x14ac:dyDescent="0.3">
      <c r="A22" s="9" t="str">
        <f>IF(B16&lt;B15,"Con factoring reduces los meses en que te quedas sin caja.",IF(B16=B15,"La cantidad de meses sin caja no cambia.","Con factoring aumentan los meses sin caja."))</f>
        <v>Con factoring reduces los meses en que te quedas sin caja.</v>
      </c>
    </row>
    <row r="23" spans="1:2" x14ac:dyDescent="0.3">
      <c r="A23" s="3" t="s">
        <v>112</v>
      </c>
    </row>
    <row r="44" spans="1:2" ht="17.399999999999999" x14ac:dyDescent="0.3">
      <c r="A44" s="40" t="s">
        <v>113</v>
      </c>
    </row>
    <row r="45" spans="1:2" x14ac:dyDescent="0.3">
      <c r="A45" s="15" t="s">
        <v>114</v>
      </c>
    </row>
    <row r="47" spans="1:2" ht="30" customHeight="1" x14ac:dyDescent="0.3">
      <c r="A47" s="1" t="s">
        <v>115</v>
      </c>
      <c r="B47" s="1"/>
    </row>
    <row r="49" spans="1:1" x14ac:dyDescent="0.3">
      <c r="A49" s="41" t="s">
        <v>116</v>
      </c>
    </row>
    <row r="50" spans="1:1" x14ac:dyDescent="0.3">
      <c r="A50" s="41" t="s">
        <v>117</v>
      </c>
    </row>
    <row r="51" spans="1:1" x14ac:dyDescent="0.3">
      <c r="A51" s="15" t="s">
        <v>118</v>
      </c>
    </row>
    <row r="53" spans="1:1" x14ac:dyDescent="0.3">
      <c r="A53" s="3" t="s">
        <v>119</v>
      </c>
    </row>
  </sheetData>
  <mergeCells count="1">
    <mergeCell ref="A47:B47"/>
  </mergeCells>
  <conditionalFormatting sqref="E4:F9">
    <cfRule type="cellIs" dxfId="1" priority="2" operator="equal">
      <formula>"SIN CAJA"</formula>
    </cfRule>
    <cfRule type="cellIs" dxfId="0" priority="3" operator="equal">
      <formula>"OK"</formula>
    </cfRule>
  </conditionalFormatting>
  <hyperlinks>
    <hyperlink ref="A47" r:id="rId1" xr:uid="{00000000-0004-0000-0600-000000000000}"/>
    <hyperlink ref="A49" r:id="rId2" xr:uid="{00000000-0004-0000-0600-000001000000}"/>
    <hyperlink ref="A50" r:id="rId3" xr:uid="{00000000-0004-0000-0600-000002000000}"/>
  </hyperlinks>
  <pageMargins left="0.75" right="0.75" top="1" bottom="1" header="0.511811023622047" footer="0.511811023622047"/>
  <pageSetup paperSize="9" orientation="portrait" horizontalDpi="300" verticalDpi="30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Instrucciones</vt:lpstr>
      <vt:lpstr>Datos</vt:lpstr>
      <vt:lpstr>Facturas</vt:lpstr>
      <vt:lpstr>Factoring</vt:lpstr>
      <vt:lpstr>Flujo sin factoring</vt:lpstr>
      <vt:lpstr>Flujo con factoring</vt:lpstr>
      <vt:lpstr>Comparación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Sandra Jeria</cp:lastModifiedBy>
  <cp:revision>1</cp:revision>
  <dcterms:created xsi:type="dcterms:W3CDTF">2026-10-14T21:46:48Z</dcterms:created>
  <dcterms:modified xsi:type="dcterms:W3CDTF">2026-10-14T21:50:50Z</dcterms:modified>
  <dc:language>en-US</dc:language>
</cp:coreProperties>
</file>